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Ֆինանսական\10837 ՊՆ ՖՎ\ՄԺԾԾ\2024-2026 ՄԺԾԾ և 2024 հայտ\2024-2026 ՄԺԾԾ (ԲՍԿ)\2023.02.18 - սոց. նախ 1098 (12002, 12006)+\"/>
    </mc:Choice>
  </mc:AlternateContent>
  <xr:revisionPtr revIDLastSave="0" documentId="13_ncr:1_{A9832038-4F24-4527-B26F-59CFF3C092A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Հ 13 ZOHVAC" sheetId="1" r:id="rId1"/>
  </sheets>
  <definedNames>
    <definedName name="_xlnm.Print_Area" localSheetId="0">'Հ 13 ZOHVAC'!$A$1:$M$128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25" i="1" l="1"/>
  <c r="H125" i="1"/>
  <c r="F125" i="1"/>
  <c r="D125" i="1"/>
  <c r="L125" i="1" s="1"/>
  <c r="J117" i="1"/>
  <c r="H117" i="1"/>
  <c r="F117" i="1"/>
  <c r="D117" i="1"/>
  <c r="L117" i="1" s="1"/>
  <c r="J115" i="1"/>
  <c r="H115" i="1"/>
  <c r="F115" i="1"/>
  <c r="D115" i="1"/>
  <c r="L115" i="1" s="1"/>
  <c r="J113" i="1"/>
  <c r="H113" i="1"/>
  <c r="F113" i="1"/>
  <c r="D113" i="1"/>
  <c r="L113" i="1" s="1"/>
  <c r="J112" i="1"/>
  <c r="H112" i="1"/>
  <c r="F112" i="1"/>
  <c r="D112" i="1"/>
  <c r="L112" i="1" s="1"/>
  <c r="J111" i="1"/>
  <c r="H111" i="1"/>
  <c r="F111" i="1"/>
  <c r="D111" i="1"/>
  <c r="L111" i="1" s="1"/>
  <c r="J110" i="1"/>
  <c r="H110" i="1"/>
  <c r="F110" i="1"/>
  <c r="D110" i="1"/>
  <c r="L110" i="1" s="1"/>
  <c r="J109" i="1"/>
  <c r="H109" i="1"/>
  <c r="F109" i="1"/>
  <c r="D109" i="1"/>
  <c r="L109" i="1" s="1"/>
  <c r="J108" i="1"/>
  <c r="H108" i="1"/>
  <c r="F108" i="1"/>
  <c r="D108" i="1"/>
  <c r="L108" i="1" s="1"/>
  <c r="J102" i="1"/>
  <c r="H102" i="1"/>
  <c r="F102" i="1"/>
  <c r="D102" i="1"/>
  <c r="L102" i="1" s="1"/>
  <c r="J100" i="1"/>
  <c r="H100" i="1"/>
  <c r="F100" i="1"/>
  <c r="D100" i="1"/>
  <c r="L100" i="1" s="1"/>
  <c r="J99" i="1"/>
  <c r="H99" i="1"/>
  <c r="F99" i="1"/>
  <c r="D99" i="1"/>
  <c r="L99" i="1" s="1"/>
  <c r="J98" i="1"/>
  <c r="H98" i="1"/>
  <c r="F98" i="1"/>
  <c r="D98" i="1"/>
  <c r="L98" i="1" s="1"/>
  <c r="J97" i="1"/>
  <c r="H97" i="1"/>
  <c r="F97" i="1"/>
  <c r="D97" i="1"/>
  <c r="L97" i="1" s="1"/>
  <c r="J96" i="1"/>
  <c r="H96" i="1"/>
  <c r="F96" i="1"/>
  <c r="D96" i="1"/>
  <c r="D101" i="1" s="1"/>
  <c r="D103" i="1" s="1"/>
  <c r="J90" i="1"/>
  <c r="H90" i="1"/>
  <c r="F90" i="1"/>
  <c r="D90" i="1"/>
  <c r="L90" i="1" s="1"/>
  <c r="J88" i="1"/>
  <c r="H88" i="1"/>
  <c r="F88" i="1"/>
  <c r="D88" i="1"/>
  <c r="L88" i="1" s="1"/>
  <c r="J87" i="1"/>
  <c r="H87" i="1"/>
  <c r="F87" i="1"/>
  <c r="D87" i="1"/>
  <c r="L87" i="1" s="1"/>
  <c r="J86" i="1"/>
  <c r="H86" i="1"/>
  <c r="F86" i="1"/>
  <c r="D86" i="1"/>
  <c r="L86" i="1" s="1"/>
  <c r="L89" i="1" s="1"/>
  <c r="J80" i="1"/>
  <c r="H80" i="1"/>
  <c r="F80" i="1"/>
  <c r="D80" i="1"/>
  <c r="L80" i="1" s="1"/>
  <c r="J78" i="1"/>
  <c r="H78" i="1"/>
  <c r="F78" i="1"/>
  <c r="D78" i="1"/>
  <c r="L78" i="1" s="1"/>
  <c r="J77" i="1"/>
  <c r="H77" i="1"/>
  <c r="F77" i="1"/>
  <c r="D77" i="1"/>
  <c r="L77" i="1" s="1"/>
  <c r="J76" i="1"/>
  <c r="H76" i="1"/>
  <c r="F76" i="1"/>
  <c r="D76" i="1"/>
  <c r="L76" i="1" s="1"/>
  <c r="J75" i="1"/>
  <c r="H75" i="1"/>
  <c r="F75" i="1"/>
  <c r="D75" i="1"/>
  <c r="D79" i="1" s="1"/>
  <c r="D81" i="1" s="1"/>
  <c r="J69" i="1"/>
  <c r="H69" i="1"/>
  <c r="F69" i="1"/>
  <c r="D69" i="1"/>
  <c r="L69" i="1" s="1"/>
  <c r="I68" i="1"/>
  <c r="G68" i="1"/>
  <c r="E68" i="1"/>
  <c r="C68" i="1"/>
  <c r="C70" i="1" s="1"/>
  <c r="J67" i="1"/>
  <c r="H67" i="1"/>
  <c r="F67" i="1"/>
  <c r="D67" i="1"/>
  <c r="L67" i="1" s="1"/>
  <c r="J66" i="1"/>
  <c r="H66" i="1"/>
  <c r="F66" i="1"/>
  <c r="D66" i="1"/>
  <c r="L66" i="1" s="1"/>
  <c r="J65" i="1"/>
  <c r="H65" i="1"/>
  <c r="F65" i="1"/>
  <c r="D65" i="1"/>
  <c r="L65" i="1" s="1"/>
  <c r="J64" i="1"/>
  <c r="H64" i="1"/>
  <c r="F64" i="1"/>
  <c r="D64" i="1"/>
  <c r="L64" i="1" s="1"/>
  <c r="J63" i="1"/>
  <c r="J68" i="1" s="1"/>
  <c r="J70" i="1" s="1"/>
  <c r="H63" i="1"/>
  <c r="F63" i="1"/>
  <c r="F68" i="1" s="1"/>
  <c r="F70" i="1" s="1"/>
  <c r="D63" i="1"/>
  <c r="D68" i="1" s="1"/>
  <c r="D70" i="1" s="1"/>
  <c r="J57" i="1"/>
  <c r="H57" i="1"/>
  <c r="F57" i="1"/>
  <c r="D57" i="1"/>
  <c r="L57" i="1" s="1"/>
  <c r="J55" i="1"/>
  <c r="H55" i="1"/>
  <c r="F55" i="1"/>
  <c r="D55" i="1"/>
  <c r="L55" i="1" s="1"/>
  <c r="J54" i="1"/>
  <c r="H54" i="1"/>
  <c r="F54" i="1"/>
  <c r="D54" i="1"/>
  <c r="L54" i="1" s="1"/>
  <c r="J53" i="1"/>
  <c r="H53" i="1"/>
  <c r="F53" i="1"/>
  <c r="D53" i="1"/>
  <c r="L53" i="1" s="1"/>
  <c r="J47" i="1"/>
  <c r="H47" i="1"/>
  <c r="F47" i="1"/>
  <c r="D47" i="1"/>
  <c r="L47" i="1" s="1"/>
  <c r="J45" i="1"/>
  <c r="H45" i="1"/>
  <c r="F45" i="1"/>
  <c r="D45" i="1"/>
  <c r="L45" i="1" s="1"/>
  <c r="J44" i="1"/>
  <c r="H44" i="1"/>
  <c r="F44" i="1"/>
  <c r="D44" i="1"/>
  <c r="L44" i="1" s="1"/>
  <c r="J43" i="1"/>
  <c r="H43" i="1"/>
  <c r="F43" i="1"/>
  <c r="D43" i="1"/>
  <c r="L43" i="1" s="1"/>
  <c r="J42" i="1"/>
  <c r="H42" i="1"/>
  <c r="F42" i="1"/>
  <c r="D42" i="1"/>
  <c r="L42" i="1" s="1"/>
  <c r="J41" i="1"/>
  <c r="H41" i="1"/>
  <c r="F41" i="1"/>
  <c r="D41" i="1"/>
  <c r="L41" i="1" s="1"/>
  <c r="J40" i="1"/>
  <c r="H40" i="1"/>
  <c r="F40" i="1"/>
  <c r="D40" i="1"/>
  <c r="L40" i="1" s="1"/>
  <c r="J39" i="1"/>
  <c r="H39" i="1"/>
  <c r="F39" i="1"/>
  <c r="D39" i="1"/>
  <c r="L39" i="1" s="1"/>
  <c r="J33" i="1"/>
  <c r="H33" i="1"/>
  <c r="F33" i="1"/>
  <c r="D33" i="1"/>
  <c r="L33" i="1" s="1"/>
  <c r="J31" i="1"/>
  <c r="H31" i="1"/>
  <c r="F31" i="1"/>
  <c r="D31" i="1"/>
  <c r="L31" i="1" s="1"/>
  <c r="J30" i="1"/>
  <c r="H30" i="1"/>
  <c r="F30" i="1"/>
  <c r="D30" i="1"/>
  <c r="L30" i="1" s="1"/>
  <c r="J29" i="1"/>
  <c r="H29" i="1"/>
  <c r="F29" i="1"/>
  <c r="D29" i="1"/>
  <c r="L29" i="1" s="1"/>
  <c r="J23" i="1"/>
  <c r="H23" i="1"/>
  <c r="F23" i="1"/>
  <c r="D23" i="1"/>
  <c r="L23" i="1" s="1"/>
  <c r="J21" i="1"/>
  <c r="H21" i="1"/>
  <c r="F21" i="1"/>
  <c r="D21" i="1"/>
  <c r="L21" i="1" s="1"/>
  <c r="J20" i="1"/>
  <c r="H20" i="1"/>
  <c r="F20" i="1"/>
  <c r="D20" i="1"/>
  <c r="L20" i="1" s="1"/>
  <c r="J19" i="1"/>
  <c r="H19" i="1"/>
  <c r="F19" i="1"/>
  <c r="D19" i="1"/>
  <c r="D22" i="1" s="1"/>
  <c r="D24" i="1" s="1"/>
  <c r="J13" i="1"/>
  <c r="H13" i="1"/>
  <c r="F13" i="1"/>
  <c r="D13" i="1"/>
  <c r="L13" i="1" s="1"/>
  <c r="J11" i="1"/>
  <c r="H11" i="1"/>
  <c r="F11" i="1"/>
  <c r="D11" i="1"/>
  <c r="L11" i="1" s="1"/>
  <c r="J10" i="1"/>
  <c r="H10" i="1"/>
  <c r="F10" i="1"/>
  <c r="D10" i="1"/>
  <c r="L10" i="1" s="1"/>
  <c r="J9" i="1"/>
  <c r="H9" i="1"/>
  <c r="F9" i="1"/>
  <c r="D9" i="1"/>
  <c r="L9" i="1" s="1"/>
  <c r="J8" i="1"/>
  <c r="H8" i="1"/>
  <c r="F8" i="1"/>
  <c r="D8" i="1"/>
  <c r="L8" i="1" s="1"/>
  <c r="J7" i="1"/>
  <c r="H7" i="1"/>
  <c r="F7" i="1"/>
  <c r="D7" i="1"/>
  <c r="L7" i="1" s="1"/>
  <c r="F32" i="1"/>
  <c r="F34" i="1" s="1"/>
  <c r="H56" i="1"/>
  <c r="H58" i="1" s="1"/>
  <c r="H46" i="1"/>
  <c r="H48" i="1" s="1"/>
  <c r="F12" i="1"/>
  <c r="F14" i="1" s="1"/>
  <c r="J114" i="1"/>
  <c r="J116" i="1" s="1"/>
  <c r="J118" i="1" s="1"/>
  <c r="H114" i="1"/>
  <c r="F114" i="1"/>
  <c r="F116" i="1" s="1"/>
  <c r="F118" i="1" s="1"/>
  <c r="D114" i="1"/>
  <c r="I70" i="1"/>
  <c r="I116" i="1"/>
  <c r="I118" i="1" s="1"/>
  <c r="G116" i="1"/>
  <c r="G118" i="1" s="1"/>
  <c r="E116" i="1"/>
  <c r="E118" i="1" s="1"/>
  <c r="C116" i="1"/>
  <c r="K114" i="1"/>
  <c r="K113" i="1"/>
  <c r="K112" i="1"/>
  <c r="K111" i="1"/>
  <c r="K110" i="1"/>
  <c r="K108" i="1"/>
  <c r="K41" i="1"/>
  <c r="K40" i="1"/>
  <c r="F89" i="1"/>
  <c r="F91" i="1" s="1"/>
  <c r="F79" i="1"/>
  <c r="F81" i="1" s="1"/>
  <c r="J56" i="1"/>
  <c r="J58" i="1" s="1"/>
  <c r="F56" i="1"/>
  <c r="F58" i="1" s="1"/>
  <c r="C79" i="1"/>
  <c r="C81" i="1" s="1"/>
  <c r="F46" i="1"/>
  <c r="F48" i="1" s="1"/>
  <c r="F22" i="1"/>
  <c r="F24" i="1" s="1"/>
  <c r="J22" i="1"/>
  <c r="J24" i="1" s="1"/>
  <c r="H12" i="1"/>
  <c r="H14" i="1" s="1"/>
  <c r="J12" i="1"/>
  <c r="J14" i="1" s="1"/>
  <c r="H22" i="1"/>
  <c r="H24" i="1" s="1"/>
  <c r="H32" i="1"/>
  <c r="H34" i="1" s="1"/>
  <c r="J32" i="1"/>
  <c r="J34" i="1" s="1"/>
  <c r="H79" i="1"/>
  <c r="H81" i="1" s="1"/>
  <c r="J79" i="1"/>
  <c r="J81" i="1" s="1"/>
  <c r="J89" i="1"/>
  <c r="J91" i="1" s="1"/>
  <c r="J101" i="1"/>
  <c r="J103" i="1" s="1"/>
  <c r="C12" i="1"/>
  <c r="C14" i="1" s="1"/>
  <c r="E12" i="1"/>
  <c r="E14" i="1" s="1"/>
  <c r="G12" i="1"/>
  <c r="G14" i="1" s="1"/>
  <c r="I12" i="1"/>
  <c r="I14" i="1" s="1"/>
  <c r="C22" i="1"/>
  <c r="C24" i="1" s="1"/>
  <c r="E22" i="1"/>
  <c r="E24" i="1" s="1"/>
  <c r="G22" i="1"/>
  <c r="G24" i="1" s="1"/>
  <c r="I22" i="1"/>
  <c r="I24" i="1" s="1"/>
  <c r="C32" i="1"/>
  <c r="C34" i="1" s="1"/>
  <c r="E32" i="1"/>
  <c r="E34" i="1" s="1"/>
  <c r="G32" i="1"/>
  <c r="G34" i="1" s="1"/>
  <c r="I32" i="1"/>
  <c r="I34" i="1" s="1"/>
  <c r="C46" i="1"/>
  <c r="C48" i="1" s="1"/>
  <c r="E46" i="1"/>
  <c r="E48" i="1" s="1"/>
  <c r="G46" i="1"/>
  <c r="G48" i="1" s="1"/>
  <c r="I46" i="1"/>
  <c r="I48" i="1" s="1"/>
  <c r="C56" i="1"/>
  <c r="C58" i="1" s="1"/>
  <c r="E56" i="1"/>
  <c r="E58" i="1" s="1"/>
  <c r="G56" i="1"/>
  <c r="G58" i="1" s="1"/>
  <c r="I56" i="1"/>
  <c r="I58" i="1" s="1"/>
  <c r="E70" i="1"/>
  <c r="G70" i="1"/>
  <c r="E79" i="1"/>
  <c r="E81" i="1" s="1"/>
  <c r="G79" i="1"/>
  <c r="G81" i="1" s="1"/>
  <c r="I79" i="1"/>
  <c r="I81" i="1" s="1"/>
  <c r="C89" i="1"/>
  <c r="C91" i="1" s="1"/>
  <c r="E89" i="1"/>
  <c r="E91" i="1" s="1"/>
  <c r="G89" i="1"/>
  <c r="G91" i="1" s="1"/>
  <c r="I89" i="1"/>
  <c r="I91" i="1" s="1"/>
  <c r="C101" i="1"/>
  <c r="C103" i="1" s="1"/>
  <c r="E101" i="1"/>
  <c r="E103" i="1" s="1"/>
  <c r="G101" i="1"/>
  <c r="G103" i="1" s="1"/>
  <c r="I101" i="1"/>
  <c r="I103" i="1" s="1"/>
  <c r="C118" i="1"/>
  <c r="K125" i="1"/>
  <c r="K117" i="1"/>
  <c r="K115" i="1"/>
  <c r="K109" i="1"/>
  <c r="K102" i="1"/>
  <c r="K100" i="1"/>
  <c r="K99" i="1"/>
  <c r="K98" i="1"/>
  <c r="K97" i="1"/>
  <c r="K96" i="1"/>
  <c r="K90" i="1"/>
  <c r="K88" i="1"/>
  <c r="K87" i="1"/>
  <c r="K86" i="1"/>
  <c r="K80" i="1"/>
  <c r="K78" i="1"/>
  <c r="K77" i="1"/>
  <c r="K76" i="1"/>
  <c r="K75" i="1"/>
  <c r="K65" i="1"/>
  <c r="K64" i="1"/>
  <c r="K69" i="1"/>
  <c r="K67" i="1"/>
  <c r="K66" i="1"/>
  <c r="K63" i="1"/>
  <c r="K57" i="1"/>
  <c r="K55" i="1"/>
  <c r="K54" i="1"/>
  <c r="K53" i="1"/>
  <c r="K47" i="1"/>
  <c r="K45" i="1"/>
  <c r="K44" i="1"/>
  <c r="K43" i="1"/>
  <c r="K42" i="1"/>
  <c r="K39" i="1"/>
  <c r="K33" i="1"/>
  <c r="K31" i="1"/>
  <c r="K30" i="1"/>
  <c r="K29" i="1"/>
  <c r="K19" i="1"/>
  <c r="K20" i="1"/>
  <c r="K21" i="1"/>
  <c r="K23" i="1"/>
  <c r="K13" i="1"/>
  <c r="K11" i="1"/>
  <c r="K10" i="1"/>
  <c r="K9" i="1"/>
  <c r="K8" i="1"/>
  <c r="K7" i="1"/>
  <c r="F101" i="1"/>
  <c r="F103" i="1" s="1"/>
  <c r="H89" i="1"/>
  <c r="H91" i="1" s="1"/>
  <c r="H101" i="1"/>
  <c r="H103" i="1" s="1"/>
  <c r="K79" i="1"/>
  <c r="J46" i="1"/>
  <c r="J48" i="1" s="1"/>
  <c r="H116" i="1"/>
  <c r="H118" i="1" s="1"/>
  <c r="K12" i="1" l="1"/>
  <c r="D46" i="1"/>
  <c r="D48" i="1" s="1"/>
  <c r="L96" i="1"/>
  <c r="L32" i="1"/>
  <c r="L46" i="1"/>
  <c r="K70" i="1"/>
  <c r="D56" i="1"/>
  <c r="D58" i="1" s="1"/>
  <c r="K116" i="1"/>
  <c r="D89" i="1"/>
  <c r="D91" i="1" s="1"/>
  <c r="L91" i="1" s="1"/>
  <c r="L63" i="1"/>
  <c r="L68" i="1" s="1"/>
  <c r="L75" i="1"/>
  <c r="L79" i="1" s="1"/>
  <c r="L19" i="1"/>
  <c r="L22" i="1" s="1"/>
  <c r="D116" i="1"/>
  <c r="D118" i="1" s="1"/>
  <c r="L118" i="1" s="1"/>
  <c r="L114" i="1"/>
  <c r="L116" i="1" s="1"/>
  <c r="D12" i="1"/>
  <c r="D14" i="1" s="1"/>
  <c r="K56" i="1"/>
  <c r="K46" i="1"/>
  <c r="K68" i="1"/>
  <c r="K22" i="1"/>
  <c r="K32" i="1"/>
  <c r="K101" i="1"/>
  <c r="K89" i="1"/>
  <c r="D32" i="1"/>
  <c r="D34" i="1" s="1"/>
  <c r="H68" i="1"/>
  <c r="H70" i="1" s="1"/>
  <c r="H126" i="1" s="1"/>
  <c r="H127" i="1" s="1"/>
  <c r="K118" i="1"/>
  <c r="L56" i="1"/>
  <c r="K58" i="1"/>
  <c r="K48" i="1"/>
  <c r="L101" i="1"/>
  <c r="L103" i="1"/>
  <c r="L81" i="1"/>
  <c r="K103" i="1"/>
  <c r="K91" i="1"/>
  <c r="I126" i="1"/>
  <c r="I127" i="1" s="1"/>
  <c r="E126" i="1"/>
  <c r="E127" i="1" s="1"/>
  <c r="K81" i="1"/>
  <c r="K14" i="1"/>
  <c r="C126" i="1"/>
  <c r="C127" i="1" s="1"/>
  <c r="K34" i="1"/>
  <c r="K24" i="1"/>
  <c r="G126" i="1"/>
  <c r="G127" i="1" s="1"/>
  <c r="L58" i="1"/>
  <c r="L48" i="1"/>
  <c r="L34" i="1"/>
  <c r="J126" i="1"/>
  <c r="J127" i="1" s="1"/>
  <c r="L24" i="1"/>
  <c r="F126" i="1"/>
  <c r="F127" i="1" s="1"/>
  <c r="L12" i="1"/>
  <c r="L14" i="1"/>
  <c r="L70" i="1" l="1"/>
  <c r="D126" i="1"/>
  <c r="D127" i="1" s="1"/>
  <c r="K127" i="1"/>
  <c r="K126" i="1"/>
  <c r="L126" i="1"/>
  <c r="L127" i="1" s="1"/>
</calcChain>
</file>

<file path=xl/sharedStrings.xml><?xml version="1.0" encoding="utf-8"?>
<sst xmlns="http://schemas.openxmlformats.org/spreadsheetml/2006/main" count="216" uniqueCount="73">
  <si>
    <t>ՀՀ մարզերում և Երևան քաղաքում բնակարան ձեռք բերելու համար պահանջվող ֆինանսական աջակցության չափերի վերաբեևյալ</t>
  </si>
  <si>
    <t>Բնակավայր</t>
  </si>
  <si>
    <t>1           սեն.</t>
  </si>
  <si>
    <t>2           սեն.</t>
  </si>
  <si>
    <t>3           սեն.</t>
  </si>
  <si>
    <t>4           սեն.</t>
  </si>
  <si>
    <t>պահանջվող                     գումարի չափը</t>
  </si>
  <si>
    <t>ընդամենը</t>
  </si>
  <si>
    <t>Դիլիջան</t>
  </si>
  <si>
    <t>Իջևան</t>
  </si>
  <si>
    <t>Բերդ</t>
  </si>
  <si>
    <t>Նոյեմբերյան</t>
  </si>
  <si>
    <t>Այրում</t>
  </si>
  <si>
    <t>Ընդամենը</t>
  </si>
  <si>
    <t>Գյուղական միջին գներ</t>
  </si>
  <si>
    <t>ԱՄՓՈՓ ՑՈՒՑԱՆԻՇՆԵՐ</t>
  </si>
  <si>
    <t>Վայք</t>
  </si>
  <si>
    <t>Եղեգնաձոր</t>
  </si>
  <si>
    <t>Ջերմուկ</t>
  </si>
  <si>
    <t>ք.Երևան</t>
  </si>
  <si>
    <t>ՀՀ մարզեր</t>
  </si>
  <si>
    <t>Աշտարակ</t>
  </si>
  <si>
    <t>Ապարան</t>
  </si>
  <si>
    <t>Թալին</t>
  </si>
  <si>
    <t>Աբովյան</t>
  </si>
  <si>
    <t>Նոր Հաճըն</t>
  </si>
  <si>
    <t>Բյուրեղավան</t>
  </si>
  <si>
    <t>Եղվարդ</t>
  </si>
  <si>
    <t>Հրազդան</t>
  </si>
  <si>
    <t>Ծաղկաձոր</t>
  </si>
  <si>
    <t>Չարենցավան</t>
  </si>
  <si>
    <t>Գյումրի</t>
  </si>
  <si>
    <t>Արթիկ</t>
  </si>
  <si>
    <t>Մարալիկ</t>
  </si>
  <si>
    <t>Գորիս</t>
  </si>
  <si>
    <t>Կապան</t>
  </si>
  <si>
    <t>Սիսիան</t>
  </si>
  <si>
    <t>Մեղրի</t>
  </si>
  <si>
    <t>Քաջարան</t>
  </si>
  <si>
    <t>Արտաշատ</t>
  </si>
  <si>
    <t>Մասիս</t>
  </si>
  <si>
    <t>Վեդի</t>
  </si>
  <si>
    <t>Արարատ</t>
  </si>
  <si>
    <t>Վաղարշապատ</t>
  </si>
  <si>
    <t>Արմավիր</t>
  </si>
  <si>
    <t>Մեծամոր</t>
  </si>
  <si>
    <t>Սևան</t>
  </si>
  <si>
    <t>Գավառ</t>
  </si>
  <si>
    <t>Մարտունի</t>
  </si>
  <si>
    <t>Վարդենիս</t>
  </si>
  <si>
    <t>Ճամբարակ</t>
  </si>
  <si>
    <t>Վանաձոր</t>
  </si>
  <si>
    <t>Ստեփանավան</t>
  </si>
  <si>
    <t>Սպիտակ</t>
  </si>
  <si>
    <t>Ախթալա</t>
  </si>
  <si>
    <t>Ալավերդի</t>
  </si>
  <si>
    <t>Տաշիր</t>
  </si>
  <si>
    <t>Թումանյան</t>
  </si>
  <si>
    <t>Շամլուղ</t>
  </si>
  <si>
    <t>Երևան քաղաքի  և ՀՀ մարզերի  2022թ. 4-րդ եռամսյակի միջին շուկայական  գներով</t>
  </si>
  <si>
    <t>Լոռու մարզ 2022թ. 4-րդ եռամսյակի միջին շուկայական  գներով</t>
  </si>
  <si>
    <t>Գեղարքունիկի մարզ 2022թ. 4-րդ եռամսյակի միջին շուկայական  գներով</t>
  </si>
  <si>
    <t>Արմավիրի մարզ 2022թ. 4-րդ եռամսյակի միջին շուկայական  գներով</t>
  </si>
  <si>
    <t>Արարատի մարզ 2022թ. 4-րդ եռամսյակի միջին շուկայական  գներով</t>
  </si>
  <si>
    <t>Սյունիքի մարզ 2022թ. 4-րդ եռամսյակի միջին շուկայական  գներով</t>
  </si>
  <si>
    <t>Շիրակի մարզ 2022թ. 4-րդ եռամսյակի միջին շուկայական  գներով</t>
  </si>
  <si>
    <t>Կոտայքի մարզ 2022թ. 4-րդ եռամսյակի միջին շուկայական  գներով</t>
  </si>
  <si>
    <t>Արագածոտնի մարզ 2022թ. 4-րդ եռամսյակի միջին շուկայական  գներով</t>
  </si>
  <si>
    <t>Վայոց Ձորի մարզ 2022թ. 4-րդ եռամսյակի միջին շուկայական  գներով</t>
  </si>
  <si>
    <t>Տավուշի մարզ 2022թ. 4-րդ եռամսյակի միջին շուկայական  գներով</t>
  </si>
  <si>
    <t xml:space="preserve"> </t>
  </si>
  <si>
    <t>Տ Ե Ղ Ե Կ Ա Գ Ի Ր (ԶԻՆԾԱՌԱՅՈՂ/ՔԱՂԾԱՌԱՅՈՂ)</t>
  </si>
  <si>
    <t>Հավելված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</si>
</sst>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</font>
    <font>
      <sz val="10"/>
      <name val="Times Armenian"/>
      <family val="1"/>
    </font>
    <font>
      <sz val="8"/>
      <name val="Arial"/>
      <family val="2"/>
      <charset val="204"/>
    </font>
    <font>
      <b/>
      <sz val="12"/>
      <name val="GHEA Grapalat"/>
      <family val="3"/>
    </font>
    <font>
      <sz val="10"/>
      <name val="GHEA Grapalat"/>
      <family val="3"/>
    </font>
    <font>
      <sz val="9"/>
      <name val="Arial"/>
      <family val="2"/>
      <charset val="204"/>
    </font>
    <font>
      <sz val="10"/>
      <name val="Arial"/>
      <family val="2"/>
    </font>
    <font>
      <sz val="10"/>
      <color indexed="10"/>
      <name val="Arial"/>
      <family val="2"/>
    </font>
    <font>
      <b/>
      <sz val="10"/>
      <name val="GHEA Grapalat"/>
      <family val="3"/>
    </font>
    <font>
      <sz val="9"/>
      <name val="GHEA Grapalat"/>
      <family val="3"/>
    </font>
    <font>
      <b/>
      <sz val="9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Fill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7" fillId="0" borderId="0" xfId="0" applyFont="1" applyFill="1"/>
    <xf numFmtId="0" fontId="6" fillId="0" borderId="0" xfId="0" applyFont="1" applyFill="1"/>
    <xf numFmtId="3" fontId="0" fillId="0" borderId="0" xfId="0" applyNumberFormat="1" applyFill="1"/>
    <xf numFmtId="0" fontId="0" fillId="0" borderId="0" xfId="0" applyFill="1" applyBorder="1"/>
    <xf numFmtId="3" fontId="1" fillId="0" borderId="0" xfId="0" applyNumberFormat="1" applyFont="1" applyFill="1" applyBorder="1" applyAlignment="1">
      <alignment horizontal="center" vertical="center" wrapText="1"/>
    </xf>
    <xf numFmtId="3" fontId="0" fillId="0" borderId="0" xfId="0" applyNumberForma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3" fontId="0" fillId="0" borderId="0" xfId="0" applyNumberForma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149"/>
  <sheetViews>
    <sheetView tabSelected="1" view="pageBreakPreview" zoomScale="130" zoomScaleNormal="115" zoomScaleSheetLayoutView="130" workbookViewId="0">
      <selection activeCell="F23" sqref="F23"/>
    </sheetView>
  </sheetViews>
  <sheetFormatPr defaultRowHeight="12.75" x14ac:dyDescent="0.2"/>
  <cols>
    <col min="1" max="1" width="1.7109375" style="1" customWidth="1"/>
    <col min="2" max="2" width="14.85546875" style="1" customWidth="1"/>
    <col min="3" max="3" width="6.28515625" style="1" customWidth="1"/>
    <col min="4" max="4" width="15.42578125" style="1" customWidth="1"/>
    <col min="5" max="5" width="5.85546875" style="1" customWidth="1"/>
    <col min="6" max="6" width="14.7109375" style="1" customWidth="1"/>
    <col min="7" max="7" width="5.85546875" style="1" customWidth="1"/>
    <col min="8" max="8" width="14.85546875" style="1" customWidth="1"/>
    <col min="9" max="9" width="6.85546875" style="1" customWidth="1"/>
    <col min="10" max="10" width="15.42578125" style="1" customWidth="1"/>
    <col min="11" max="11" width="11.140625" style="1" customWidth="1"/>
    <col min="12" max="12" width="18.42578125" style="1" customWidth="1"/>
    <col min="13" max="13" width="1.7109375" style="1" customWidth="1"/>
    <col min="14" max="16384" width="9.140625" style="1"/>
  </cols>
  <sheetData>
    <row r="1" spans="2:12" ht="13.5" x14ac:dyDescent="0.2">
      <c r="L1" s="18" t="s">
        <v>72</v>
      </c>
    </row>
    <row r="2" spans="2:12" ht="17.25" customHeight="1" x14ac:dyDescent="0.2">
      <c r="B2" s="20" t="s">
        <v>71</v>
      </c>
      <c r="C2" s="20"/>
      <c r="D2" s="20"/>
      <c r="E2" s="20"/>
      <c r="F2" s="20"/>
      <c r="G2" s="20"/>
      <c r="H2" s="20"/>
      <c r="I2" s="20"/>
      <c r="J2" s="20"/>
      <c r="K2" s="20"/>
      <c r="L2" s="20"/>
    </row>
    <row r="3" spans="2:12" ht="15.75" customHeight="1" x14ac:dyDescent="0.2">
      <c r="B3" s="21" t="s">
        <v>0</v>
      </c>
      <c r="C3" s="21"/>
      <c r="D3" s="21"/>
      <c r="E3" s="21"/>
      <c r="F3" s="21"/>
      <c r="G3" s="21"/>
      <c r="H3" s="21"/>
      <c r="I3" s="21"/>
      <c r="J3" s="21"/>
      <c r="K3" s="21"/>
      <c r="L3" s="21"/>
    </row>
    <row r="4" spans="2:12" ht="14.25" customHeight="1" x14ac:dyDescent="0.2">
      <c r="B4" s="19" t="s">
        <v>69</v>
      </c>
      <c r="C4" s="19"/>
      <c r="D4" s="19"/>
      <c r="E4" s="19"/>
      <c r="F4" s="19"/>
      <c r="G4" s="19"/>
      <c r="H4" s="19"/>
      <c r="I4" s="19"/>
      <c r="J4" s="19"/>
      <c r="K4" s="19"/>
      <c r="L4" s="19"/>
    </row>
    <row r="5" spans="2:12" ht="10.5" customHeight="1" x14ac:dyDescent="0.2"/>
    <row r="6" spans="2:12" s="5" customFormat="1" ht="35.25" customHeight="1" x14ac:dyDescent="0.2">
      <c r="B6" s="10" t="s">
        <v>1</v>
      </c>
      <c r="C6" s="10" t="s">
        <v>2</v>
      </c>
      <c r="D6" s="10" t="s">
        <v>6</v>
      </c>
      <c r="E6" s="10" t="s">
        <v>3</v>
      </c>
      <c r="F6" s="10" t="s">
        <v>6</v>
      </c>
      <c r="G6" s="10" t="s">
        <v>4</v>
      </c>
      <c r="H6" s="10" t="s">
        <v>6</v>
      </c>
      <c r="I6" s="10" t="s">
        <v>5</v>
      </c>
      <c r="J6" s="10" t="s">
        <v>6</v>
      </c>
      <c r="K6" s="10" t="s">
        <v>7</v>
      </c>
      <c r="L6" s="10" t="s">
        <v>6</v>
      </c>
    </row>
    <row r="7" spans="2:12" ht="15.75" customHeight="1" x14ac:dyDescent="0.2">
      <c r="B7" s="2" t="s">
        <v>8</v>
      </c>
      <c r="C7" s="15">
        <v>1</v>
      </c>
      <c r="D7" s="15">
        <f>C7*7457000</f>
        <v>7457000</v>
      </c>
      <c r="E7" s="15">
        <v>1</v>
      </c>
      <c r="F7" s="15">
        <f>E7*10771000</f>
        <v>10771000</v>
      </c>
      <c r="G7" s="15">
        <v>4</v>
      </c>
      <c r="H7" s="15">
        <f>G7*14085000</f>
        <v>56340000</v>
      </c>
      <c r="I7" s="15"/>
      <c r="J7" s="15">
        <f>I7*17399000</f>
        <v>0</v>
      </c>
      <c r="K7" s="15">
        <f t="shared" ref="K7:L11" si="0">SUM(C7,E7,G7,I7)</f>
        <v>6</v>
      </c>
      <c r="L7" s="15">
        <f t="shared" si="0"/>
        <v>74568000</v>
      </c>
    </row>
    <row r="8" spans="2:12" ht="13.5" x14ac:dyDescent="0.2">
      <c r="B8" s="2" t="s">
        <v>9</v>
      </c>
      <c r="C8" s="15">
        <v>3</v>
      </c>
      <c r="D8" s="15">
        <f>C8*6764000</f>
        <v>20292000</v>
      </c>
      <c r="E8" s="15">
        <v>1</v>
      </c>
      <c r="F8" s="15">
        <f>E8*9770000</f>
        <v>9770000</v>
      </c>
      <c r="G8" s="15">
        <v>6</v>
      </c>
      <c r="H8" s="15">
        <f>G8*12776000</f>
        <v>76656000</v>
      </c>
      <c r="I8" s="15">
        <v>0</v>
      </c>
      <c r="J8" s="15">
        <f>I8*15782000</f>
        <v>0</v>
      </c>
      <c r="K8" s="15">
        <f t="shared" si="0"/>
        <v>10</v>
      </c>
      <c r="L8" s="15">
        <f t="shared" si="0"/>
        <v>106718000</v>
      </c>
    </row>
    <row r="9" spans="2:12" ht="13.5" x14ac:dyDescent="0.2">
      <c r="B9" s="2" t="s">
        <v>10</v>
      </c>
      <c r="C9" s="15"/>
      <c r="D9" s="15">
        <f>C9*4658000</f>
        <v>0</v>
      </c>
      <c r="E9" s="15">
        <v>3</v>
      </c>
      <c r="F9" s="15">
        <f>E9*6728000</f>
        <v>20184000</v>
      </c>
      <c r="G9" s="15">
        <v>8</v>
      </c>
      <c r="H9" s="15">
        <f>G9*8798000</f>
        <v>70384000</v>
      </c>
      <c r="I9" s="15">
        <v>0</v>
      </c>
      <c r="J9" s="15">
        <f>I9*10868000</f>
        <v>0</v>
      </c>
      <c r="K9" s="15">
        <f t="shared" si="0"/>
        <v>11</v>
      </c>
      <c r="L9" s="15">
        <f t="shared" si="0"/>
        <v>90568000</v>
      </c>
    </row>
    <row r="10" spans="2:12" ht="15.75" customHeight="1" x14ac:dyDescent="0.2">
      <c r="B10" s="2" t="s">
        <v>11</v>
      </c>
      <c r="C10" s="15">
        <v>1</v>
      </c>
      <c r="D10" s="15">
        <f>C10*3974000</f>
        <v>3974000</v>
      </c>
      <c r="E10" s="15"/>
      <c r="F10" s="15">
        <f>E10*5740000</f>
        <v>0</v>
      </c>
      <c r="G10" s="15">
        <v>3</v>
      </c>
      <c r="H10" s="15">
        <f>G10*7506000</f>
        <v>22518000</v>
      </c>
      <c r="I10" s="15">
        <v>0</v>
      </c>
      <c r="J10" s="15">
        <f>I10*9272000</f>
        <v>0</v>
      </c>
      <c r="K10" s="15">
        <f t="shared" si="0"/>
        <v>4</v>
      </c>
      <c r="L10" s="15">
        <f t="shared" si="0"/>
        <v>26492000</v>
      </c>
    </row>
    <row r="11" spans="2:12" ht="15" customHeight="1" x14ac:dyDescent="0.2">
      <c r="B11" s="2" t="s">
        <v>12</v>
      </c>
      <c r="C11" s="15">
        <v>1</v>
      </c>
      <c r="D11" s="15">
        <f>C11*2736000</f>
        <v>2736000</v>
      </c>
      <c r="E11" s="15">
        <v>1</v>
      </c>
      <c r="F11" s="15">
        <f>E11*3952000</f>
        <v>3952000</v>
      </c>
      <c r="G11" s="15"/>
      <c r="H11" s="15">
        <f>G11*5168000</f>
        <v>0</v>
      </c>
      <c r="I11" s="15">
        <v>0</v>
      </c>
      <c r="J11" s="15">
        <f>I11*6384000</f>
        <v>0</v>
      </c>
      <c r="K11" s="15">
        <f t="shared" si="0"/>
        <v>2</v>
      </c>
      <c r="L11" s="15">
        <f t="shared" si="0"/>
        <v>6688000</v>
      </c>
    </row>
    <row r="12" spans="2:12" ht="13.5" x14ac:dyDescent="0.2">
      <c r="B12" s="10" t="s">
        <v>13</v>
      </c>
      <c r="C12" s="16">
        <f t="shared" ref="C12:J12" si="1">SUM(C7,C8,C9,C10,C11)</f>
        <v>6</v>
      </c>
      <c r="D12" s="16">
        <f t="shared" si="1"/>
        <v>34459000</v>
      </c>
      <c r="E12" s="16">
        <f t="shared" si="1"/>
        <v>6</v>
      </c>
      <c r="F12" s="16">
        <f t="shared" si="1"/>
        <v>44677000</v>
      </c>
      <c r="G12" s="16">
        <f t="shared" si="1"/>
        <v>21</v>
      </c>
      <c r="H12" s="16">
        <f t="shared" si="1"/>
        <v>225898000</v>
      </c>
      <c r="I12" s="16">
        <f t="shared" si="1"/>
        <v>0</v>
      </c>
      <c r="J12" s="16">
        <f t="shared" si="1"/>
        <v>0</v>
      </c>
      <c r="K12" s="16">
        <f>SUM(C12,E12,G12,I12)</f>
        <v>33</v>
      </c>
      <c r="L12" s="16">
        <f>SUM(L7,L8,L9,L10,L11)</f>
        <v>305034000</v>
      </c>
    </row>
    <row r="13" spans="2:12" ht="27" x14ac:dyDescent="0.2">
      <c r="B13" s="2" t="s">
        <v>14</v>
      </c>
      <c r="C13" s="15">
        <v>2</v>
      </c>
      <c r="D13" s="15">
        <f>C13*5141000</f>
        <v>10282000</v>
      </c>
      <c r="E13" s="15">
        <v>5</v>
      </c>
      <c r="F13" s="15">
        <f>E13*7426000</f>
        <v>37130000</v>
      </c>
      <c r="G13" s="15">
        <v>15</v>
      </c>
      <c r="H13" s="15">
        <f>G13*9711000</f>
        <v>145665000</v>
      </c>
      <c r="I13" s="15">
        <v>1</v>
      </c>
      <c r="J13" s="15">
        <f>I13*11997000</f>
        <v>11997000</v>
      </c>
      <c r="K13" s="15">
        <f>SUM(C13,E13,G13,I13)</f>
        <v>23</v>
      </c>
      <c r="L13" s="15">
        <f>SUM(D13,F13,H13,J13)</f>
        <v>205074000</v>
      </c>
    </row>
    <row r="14" spans="2:12" ht="13.5" x14ac:dyDescent="0.2">
      <c r="B14" s="16" t="s">
        <v>13</v>
      </c>
      <c r="C14" s="16">
        <f t="shared" ref="C14:J14" si="2">SUM(C12,C13)</f>
        <v>8</v>
      </c>
      <c r="D14" s="16">
        <f t="shared" si="2"/>
        <v>44741000</v>
      </c>
      <c r="E14" s="16">
        <f t="shared" si="2"/>
        <v>11</v>
      </c>
      <c r="F14" s="16">
        <f t="shared" si="2"/>
        <v>81807000</v>
      </c>
      <c r="G14" s="10">
        <f t="shared" si="2"/>
        <v>36</v>
      </c>
      <c r="H14" s="16">
        <f t="shared" si="2"/>
        <v>371563000</v>
      </c>
      <c r="I14" s="16">
        <f t="shared" si="2"/>
        <v>1</v>
      </c>
      <c r="J14" s="16">
        <f t="shared" si="2"/>
        <v>11997000</v>
      </c>
      <c r="K14" s="10">
        <f>SUM(C14,E14,G14,I14)</f>
        <v>56</v>
      </c>
      <c r="L14" s="16">
        <f>SUM(D14,F14,H14,J14)</f>
        <v>510108000</v>
      </c>
    </row>
    <row r="16" spans="2:12" ht="15" customHeight="1" x14ac:dyDescent="0.2">
      <c r="B16" s="19" t="s">
        <v>68</v>
      </c>
      <c r="C16" s="19"/>
      <c r="D16" s="19"/>
      <c r="E16" s="19"/>
      <c r="F16" s="19"/>
      <c r="G16" s="19"/>
      <c r="H16" s="19"/>
      <c r="I16" s="19"/>
      <c r="J16" s="19"/>
      <c r="K16" s="19"/>
      <c r="L16" s="19"/>
    </row>
    <row r="17" spans="2:12" ht="8.25" customHeight="1" x14ac:dyDescent="0.2"/>
    <row r="18" spans="2:12" s="5" customFormat="1" ht="30" customHeight="1" x14ac:dyDescent="0.2">
      <c r="B18" s="10" t="s">
        <v>1</v>
      </c>
      <c r="C18" s="10" t="s">
        <v>2</v>
      </c>
      <c r="D18" s="10" t="s">
        <v>6</v>
      </c>
      <c r="E18" s="10" t="s">
        <v>3</v>
      </c>
      <c r="F18" s="10" t="s">
        <v>6</v>
      </c>
      <c r="G18" s="10" t="s">
        <v>4</v>
      </c>
      <c r="H18" s="10" t="s">
        <v>6</v>
      </c>
      <c r="I18" s="10" t="s">
        <v>5</v>
      </c>
      <c r="J18" s="10" t="s">
        <v>6</v>
      </c>
      <c r="K18" s="10" t="s">
        <v>7</v>
      </c>
      <c r="L18" s="10" t="s">
        <v>6</v>
      </c>
    </row>
    <row r="19" spans="2:12" ht="13.5" x14ac:dyDescent="0.2">
      <c r="B19" s="2" t="s">
        <v>16</v>
      </c>
      <c r="C19" s="15">
        <v>4</v>
      </c>
      <c r="D19" s="15">
        <f>C19*4595000</f>
        <v>18380000</v>
      </c>
      <c r="E19" s="15">
        <v>2</v>
      </c>
      <c r="F19" s="15">
        <f>E19*6637000</f>
        <v>13274000</v>
      </c>
      <c r="G19" s="15">
        <v>5</v>
      </c>
      <c r="H19" s="15">
        <f>G19*8679000</f>
        <v>43395000</v>
      </c>
      <c r="I19" s="15"/>
      <c r="J19" s="15">
        <f>I19*10721000</f>
        <v>0</v>
      </c>
      <c r="K19" s="15">
        <f t="shared" ref="K19:L21" si="3">SUM(C19,E19,G19,I19)</f>
        <v>11</v>
      </c>
      <c r="L19" s="15">
        <f t="shared" si="3"/>
        <v>75049000</v>
      </c>
    </row>
    <row r="20" spans="2:12" ht="13.5" x14ac:dyDescent="0.2">
      <c r="B20" s="2" t="s">
        <v>17</v>
      </c>
      <c r="C20" s="15">
        <v>2</v>
      </c>
      <c r="D20" s="15">
        <f>C20*5985000</f>
        <v>11970000</v>
      </c>
      <c r="E20" s="15">
        <v>4</v>
      </c>
      <c r="F20" s="15">
        <f>E20*8645000</f>
        <v>34580000</v>
      </c>
      <c r="G20" s="15">
        <v>3</v>
      </c>
      <c r="H20" s="15">
        <f>G20*11305000</f>
        <v>33915000</v>
      </c>
      <c r="I20" s="15">
        <v>0</v>
      </c>
      <c r="J20" s="15">
        <f>I20*13965000</f>
        <v>0</v>
      </c>
      <c r="K20" s="15">
        <f t="shared" si="3"/>
        <v>9</v>
      </c>
      <c r="L20" s="15">
        <f t="shared" si="3"/>
        <v>80465000</v>
      </c>
    </row>
    <row r="21" spans="2:12" ht="13.5" x14ac:dyDescent="0.2">
      <c r="B21" s="2" t="s">
        <v>18</v>
      </c>
      <c r="C21" s="15"/>
      <c r="D21" s="15">
        <f>C21*5265000</f>
        <v>0</v>
      </c>
      <c r="E21" s="15">
        <v>1</v>
      </c>
      <c r="F21" s="15">
        <f>E21*7605000</f>
        <v>7605000</v>
      </c>
      <c r="G21" s="15">
        <v>1</v>
      </c>
      <c r="H21" s="15">
        <f>G21*9945000</f>
        <v>9945000</v>
      </c>
      <c r="I21" s="15">
        <v>0</v>
      </c>
      <c r="J21" s="15">
        <f>I21*12285000</f>
        <v>0</v>
      </c>
      <c r="K21" s="15">
        <f t="shared" si="3"/>
        <v>2</v>
      </c>
      <c r="L21" s="15">
        <f t="shared" si="3"/>
        <v>17550000</v>
      </c>
    </row>
    <row r="22" spans="2:12" ht="13.5" x14ac:dyDescent="0.2">
      <c r="B22" s="10" t="s">
        <v>13</v>
      </c>
      <c r="C22" s="16">
        <f>SUM(C17,C18,C19,C20,C21)</f>
        <v>6</v>
      </c>
      <c r="D22" s="16">
        <f>SUM(D19,D20,D21,F25)</f>
        <v>30350000</v>
      </c>
      <c r="E22" s="16">
        <f>SUM(E17,E18,E19,E20,E21)</f>
        <v>7</v>
      </c>
      <c r="F22" s="16">
        <f>SUM(F19,F20,F21,H25)</f>
        <v>55459000</v>
      </c>
      <c r="G22" s="16">
        <f>SUM(G17,G18,G19,G20,G21)</f>
        <v>9</v>
      </c>
      <c r="H22" s="16">
        <f>SUM(H19,H20,H21,J25)</f>
        <v>87255000</v>
      </c>
      <c r="I22" s="16">
        <f>SUM(I17,I18,I19,I20,I21)</f>
        <v>0</v>
      </c>
      <c r="J22" s="16">
        <f>SUM(J19,J20,J21,L25)</f>
        <v>0</v>
      </c>
      <c r="K22" s="16">
        <f>SUM(C22,E22,G22,I22)</f>
        <v>22</v>
      </c>
      <c r="L22" s="16">
        <f>SUM(L19,L20,L21,)</f>
        <v>173064000</v>
      </c>
    </row>
    <row r="23" spans="2:12" ht="27" x14ac:dyDescent="0.2">
      <c r="B23" s="2" t="s">
        <v>14</v>
      </c>
      <c r="C23" s="2">
        <v>3</v>
      </c>
      <c r="D23" s="15">
        <f>C23*4752000</f>
        <v>14256000</v>
      </c>
      <c r="E23" s="15">
        <v>5</v>
      </c>
      <c r="F23" s="15">
        <f>E23*6866000</f>
        <v>34330000</v>
      </c>
      <c r="G23" s="15">
        <v>8</v>
      </c>
      <c r="H23" s="15">
        <f>G23*8978000</f>
        <v>71824000</v>
      </c>
      <c r="I23" s="15">
        <v>0</v>
      </c>
      <c r="J23" s="15">
        <f>I23*11090000</f>
        <v>0</v>
      </c>
      <c r="K23" s="15">
        <f>SUM(C23,E23,G23,I23)</f>
        <v>16</v>
      </c>
      <c r="L23" s="15">
        <f>SUM(D23,F23,H23,J23)</f>
        <v>120410000</v>
      </c>
    </row>
    <row r="24" spans="2:12" ht="13.5" x14ac:dyDescent="0.2">
      <c r="B24" s="10" t="s">
        <v>13</v>
      </c>
      <c r="C24" s="16">
        <f t="shared" ref="C24:J24" si="4">SUM(C22,C23)</f>
        <v>9</v>
      </c>
      <c r="D24" s="16">
        <f t="shared" si="4"/>
        <v>44606000</v>
      </c>
      <c r="E24" s="16">
        <f t="shared" si="4"/>
        <v>12</v>
      </c>
      <c r="F24" s="16">
        <f t="shared" si="4"/>
        <v>89789000</v>
      </c>
      <c r="G24" s="16">
        <f t="shared" si="4"/>
        <v>17</v>
      </c>
      <c r="H24" s="16">
        <f t="shared" si="4"/>
        <v>159079000</v>
      </c>
      <c r="I24" s="16">
        <f t="shared" si="4"/>
        <v>0</v>
      </c>
      <c r="J24" s="16">
        <f t="shared" si="4"/>
        <v>0</v>
      </c>
      <c r="K24" s="16">
        <f>SUM(C24,E24,G24,I24)</f>
        <v>38</v>
      </c>
      <c r="L24" s="16">
        <f>SUM(D24,F24,H24,J24)</f>
        <v>293474000</v>
      </c>
    </row>
    <row r="26" spans="2:12" ht="13.5" x14ac:dyDescent="0.2">
      <c r="B26" s="19" t="s">
        <v>67</v>
      </c>
      <c r="C26" s="19"/>
      <c r="D26" s="19"/>
      <c r="E26" s="19"/>
      <c r="F26" s="19"/>
      <c r="G26" s="19"/>
      <c r="H26" s="19"/>
      <c r="I26" s="19"/>
      <c r="J26" s="19"/>
      <c r="K26" s="19"/>
      <c r="L26" s="19"/>
    </row>
    <row r="27" spans="2:12" ht="9.75" customHeight="1" x14ac:dyDescent="0.2"/>
    <row r="28" spans="2:12" s="5" customFormat="1" ht="30" customHeight="1" x14ac:dyDescent="0.2">
      <c r="B28" s="10" t="s">
        <v>1</v>
      </c>
      <c r="C28" s="10" t="s">
        <v>2</v>
      </c>
      <c r="D28" s="10" t="s">
        <v>6</v>
      </c>
      <c r="E28" s="10" t="s">
        <v>3</v>
      </c>
      <c r="F28" s="10" t="s">
        <v>6</v>
      </c>
      <c r="G28" s="10" t="s">
        <v>4</v>
      </c>
      <c r="H28" s="10" t="s">
        <v>6</v>
      </c>
      <c r="I28" s="10" t="s">
        <v>5</v>
      </c>
      <c r="J28" s="10" t="s">
        <v>6</v>
      </c>
      <c r="K28" s="10" t="s">
        <v>7</v>
      </c>
      <c r="L28" s="10" t="s">
        <v>6</v>
      </c>
    </row>
    <row r="29" spans="2:12" ht="13.5" x14ac:dyDescent="0.2">
      <c r="B29" s="2" t="s">
        <v>21</v>
      </c>
      <c r="C29" s="2">
        <v>1</v>
      </c>
      <c r="D29" s="15">
        <f>C29*7848000</f>
        <v>7848000</v>
      </c>
      <c r="E29" s="15">
        <v>4</v>
      </c>
      <c r="F29" s="15">
        <f>E29*11336000</f>
        <v>45344000</v>
      </c>
      <c r="G29" s="15">
        <v>7</v>
      </c>
      <c r="H29" s="15">
        <f>G29*14824000</f>
        <v>103768000</v>
      </c>
      <c r="I29" s="15">
        <v>0</v>
      </c>
      <c r="J29" s="15">
        <f>I29*18312000</f>
        <v>0</v>
      </c>
      <c r="K29" s="15">
        <f t="shared" ref="K29:L31" si="5">SUM(C29,E29,G29,I29)</f>
        <v>12</v>
      </c>
      <c r="L29" s="15">
        <f t="shared" si="5"/>
        <v>156960000</v>
      </c>
    </row>
    <row r="30" spans="2:12" ht="13.5" x14ac:dyDescent="0.2">
      <c r="B30" s="2" t="s">
        <v>22</v>
      </c>
      <c r="C30" s="2">
        <v>2</v>
      </c>
      <c r="D30" s="15">
        <f>C30*4325000</f>
        <v>8650000</v>
      </c>
      <c r="E30" s="15">
        <v>1</v>
      </c>
      <c r="F30" s="15">
        <f>E30*6247000</f>
        <v>6247000</v>
      </c>
      <c r="G30" s="15">
        <v>5</v>
      </c>
      <c r="H30" s="15">
        <f>G30*8169000</f>
        <v>40845000</v>
      </c>
      <c r="I30" s="15">
        <v>0</v>
      </c>
      <c r="J30" s="15">
        <f>I30*10091000</f>
        <v>0</v>
      </c>
      <c r="K30" s="15">
        <f t="shared" si="5"/>
        <v>8</v>
      </c>
      <c r="L30" s="15">
        <f t="shared" si="5"/>
        <v>55742000</v>
      </c>
    </row>
    <row r="31" spans="2:12" ht="13.5" x14ac:dyDescent="0.2">
      <c r="B31" s="2" t="s">
        <v>23</v>
      </c>
      <c r="C31" s="2"/>
      <c r="D31" s="15">
        <f>C31*3474000</f>
        <v>0</v>
      </c>
      <c r="E31" s="15">
        <v>2</v>
      </c>
      <c r="F31" s="15">
        <f>E31*5018000</f>
        <v>10036000</v>
      </c>
      <c r="G31" s="15">
        <v>1</v>
      </c>
      <c r="H31" s="15">
        <f>G31*6562000</f>
        <v>6562000</v>
      </c>
      <c r="I31" s="15">
        <v>0</v>
      </c>
      <c r="J31" s="15">
        <f>I31*8106000</f>
        <v>0</v>
      </c>
      <c r="K31" s="15">
        <f t="shared" si="5"/>
        <v>3</v>
      </c>
      <c r="L31" s="15">
        <f t="shared" si="5"/>
        <v>16598000</v>
      </c>
    </row>
    <row r="32" spans="2:12" ht="13.5" x14ac:dyDescent="0.2">
      <c r="B32" s="10" t="s">
        <v>13</v>
      </c>
      <c r="C32" s="16">
        <f>SUM(C27,C28,C29,C30,C31)</f>
        <v>3</v>
      </c>
      <c r="D32" s="16">
        <f>SUM(D29,D30,D31,F35)</f>
        <v>16498000</v>
      </c>
      <c r="E32" s="16">
        <f>SUM(E27,E28,E29,E30,E31)</f>
        <v>7</v>
      </c>
      <c r="F32" s="16">
        <f>F29+F30+F31</f>
        <v>61627000</v>
      </c>
      <c r="G32" s="16">
        <f>SUM(G27,G28,G29,G30,G31)</f>
        <v>13</v>
      </c>
      <c r="H32" s="16">
        <f>SUM(H29,H30,H31,J35)</f>
        <v>151175000</v>
      </c>
      <c r="I32" s="16">
        <f>SUM(I27,I28,I29,I30,I31)</f>
        <v>0</v>
      </c>
      <c r="J32" s="16">
        <f>SUM(J29,J30,J31,L35)</f>
        <v>0</v>
      </c>
      <c r="K32" s="16">
        <f>SUM(C32,E32,G32,I32)</f>
        <v>23</v>
      </c>
      <c r="L32" s="16">
        <f>SUM(L29,L30,L31,)</f>
        <v>229300000</v>
      </c>
    </row>
    <row r="33" spans="2:12" ht="27" x14ac:dyDescent="0.2">
      <c r="B33" s="2" t="s">
        <v>14</v>
      </c>
      <c r="C33" s="2">
        <v>4</v>
      </c>
      <c r="D33" s="15">
        <f>C33*4693000</f>
        <v>18772000</v>
      </c>
      <c r="E33" s="15">
        <v>15</v>
      </c>
      <c r="F33" s="15">
        <f>E33*6779000</f>
        <v>101685000</v>
      </c>
      <c r="G33" s="15">
        <v>22</v>
      </c>
      <c r="H33" s="15">
        <f>G33*8865000</f>
        <v>195030000</v>
      </c>
      <c r="I33" s="15">
        <v>0</v>
      </c>
      <c r="J33" s="15">
        <f>I33*10952000</f>
        <v>0</v>
      </c>
      <c r="K33" s="15">
        <f>SUM(C33,E33,G33,I33)</f>
        <v>41</v>
      </c>
      <c r="L33" s="15">
        <f>SUM(D33,F33,H33,J33)</f>
        <v>315487000</v>
      </c>
    </row>
    <row r="34" spans="2:12" ht="15.75" customHeight="1" x14ac:dyDescent="0.2">
      <c r="B34" s="10" t="s">
        <v>13</v>
      </c>
      <c r="C34" s="16">
        <f t="shared" ref="C34:J34" si="6">SUM(C32,C33)</f>
        <v>7</v>
      </c>
      <c r="D34" s="16">
        <f t="shared" si="6"/>
        <v>35270000</v>
      </c>
      <c r="E34" s="16">
        <f t="shared" si="6"/>
        <v>22</v>
      </c>
      <c r="F34" s="16">
        <f t="shared" si="6"/>
        <v>163312000</v>
      </c>
      <c r="G34" s="16">
        <f t="shared" si="6"/>
        <v>35</v>
      </c>
      <c r="H34" s="16">
        <f t="shared" si="6"/>
        <v>346205000</v>
      </c>
      <c r="I34" s="16">
        <f t="shared" si="6"/>
        <v>0</v>
      </c>
      <c r="J34" s="16">
        <f t="shared" si="6"/>
        <v>0</v>
      </c>
      <c r="K34" s="16">
        <f>SUM(C34,E34,G34,I34)</f>
        <v>64</v>
      </c>
      <c r="L34" s="16">
        <f>SUM(D34,F34,H34,J34)</f>
        <v>544787000</v>
      </c>
    </row>
    <row r="35" spans="2:12" ht="13.5" x14ac:dyDescent="0.2">
      <c r="H35" s="13"/>
    </row>
    <row r="36" spans="2:12" ht="13.5" x14ac:dyDescent="0.2">
      <c r="B36" s="19" t="s">
        <v>66</v>
      </c>
      <c r="C36" s="19"/>
      <c r="D36" s="19"/>
      <c r="E36" s="19"/>
      <c r="F36" s="19"/>
      <c r="G36" s="19"/>
      <c r="H36" s="19"/>
      <c r="I36" s="19"/>
      <c r="J36" s="19"/>
      <c r="K36" s="19"/>
      <c r="L36" s="19"/>
    </row>
    <row r="37" spans="2:12" ht="9.75" customHeight="1" x14ac:dyDescent="0.2"/>
    <row r="38" spans="2:12" s="5" customFormat="1" ht="30" customHeight="1" x14ac:dyDescent="0.2">
      <c r="B38" s="10" t="s">
        <v>1</v>
      </c>
      <c r="C38" s="10" t="s">
        <v>2</v>
      </c>
      <c r="D38" s="10" t="s">
        <v>6</v>
      </c>
      <c r="E38" s="10" t="s">
        <v>3</v>
      </c>
      <c r="F38" s="10" t="s">
        <v>6</v>
      </c>
      <c r="G38" s="10" t="s">
        <v>4</v>
      </c>
      <c r="H38" s="10" t="s">
        <v>6</v>
      </c>
      <c r="I38" s="10" t="s">
        <v>5</v>
      </c>
      <c r="J38" s="10" t="s">
        <v>6</v>
      </c>
      <c r="K38" s="10" t="s">
        <v>7</v>
      </c>
      <c r="L38" s="10" t="s">
        <v>6</v>
      </c>
    </row>
    <row r="39" spans="2:12" ht="13.5" x14ac:dyDescent="0.2">
      <c r="B39" s="2" t="s">
        <v>24</v>
      </c>
      <c r="C39" s="15">
        <v>1</v>
      </c>
      <c r="D39" s="15">
        <f>C39*11304000</f>
        <v>11304000</v>
      </c>
      <c r="E39" s="15">
        <v>4</v>
      </c>
      <c r="F39" s="15">
        <f>E39*16328000</f>
        <v>65312000</v>
      </c>
      <c r="G39" s="15">
        <v>10</v>
      </c>
      <c r="H39" s="15">
        <f>G39*21352000</f>
        <v>213520000</v>
      </c>
      <c r="I39" s="15">
        <v>0</v>
      </c>
      <c r="J39" s="15">
        <f>I39*26376000</f>
        <v>0</v>
      </c>
      <c r="K39" s="15">
        <f>SUM(C39,E39,G39,I39)</f>
        <v>15</v>
      </c>
      <c r="L39" s="15">
        <f>SUM(D39,F39,H39,J39)</f>
        <v>290136000</v>
      </c>
    </row>
    <row r="40" spans="2:12" ht="13.5" x14ac:dyDescent="0.2">
      <c r="B40" s="2" t="s">
        <v>25</v>
      </c>
      <c r="C40" s="15"/>
      <c r="D40" s="15">
        <f>C40*7322000</f>
        <v>0</v>
      </c>
      <c r="E40" s="15"/>
      <c r="F40" s="15">
        <f>E40*10576000</f>
        <v>0</v>
      </c>
      <c r="G40" s="15">
        <v>0</v>
      </c>
      <c r="H40" s="15">
        <f>G40*13830000</f>
        <v>0</v>
      </c>
      <c r="I40" s="15">
        <v>0</v>
      </c>
      <c r="J40" s="15">
        <f>I40*17084000</f>
        <v>0</v>
      </c>
      <c r="K40" s="15">
        <f>SUM(C40,E40,G40,I40)</f>
        <v>0</v>
      </c>
      <c r="L40" s="15">
        <f t="shared" ref="L40:L45" si="7">SUM(D40,F40,H40,J40)</f>
        <v>0</v>
      </c>
    </row>
    <row r="41" spans="2:12" ht="13.5" x14ac:dyDescent="0.2">
      <c r="B41" s="2" t="s">
        <v>26</v>
      </c>
      <c r="C41" s="15">
        <v>1</v>
      </c>
      <c r="D41" s="15">
        <f>C41*6899000</f>
        <v>6899000</v>
      </c>
      <c r="E41" s="15">
        <v>3</v>
      </c>
      <c r="F41" s="15">
        <f>E41*9965000</f>
        <v>29895000</v>
      </c>
      <c r="G41" s="15">
        <v>1</v>
      </c>
      <c r="H41" s="15">
        <f>G41*13031000</f>
        <v>13031000</v>
      </c>
      <c r="I41" s="15">
        <v>0</v>
      </c>
      <c r="J41" s="15">
        <f>I41*16097000</f>
        <v>0</v>
      </c>
      <c r="K41" s="15">
        <f>SUM(C41,E41,G41,I41)</f>
        <v>5</v>
      </c>
      <c r="L41" s="15">
        <f t="shared" si="7"/>
        <v>49825000</v>
      </c>
    </row>
    <row r="42" spans="2:12" ht="13.5" x14ac:dyDescent="0.2">
      <c r="B42" s="2" t="s">
        <v>27</v>
      </c>
      <c r="C42" s="15">
        <v>1</v>
      </c>
      <c r="D42" s="15">
        <f>C42*7655000</f>
        <v>7655000</v>
      </c>
      <c r="E42" s="15">
        <v>1</v>
      </c>
      <c r="F42" s="15">
        <f>E42*11057000</f>
        <v>11057000</v>
      </c>
      <c r="G42" s="15">
        <v>1</v>
      </c>
      <c r="H42" s="15">
        <f>G42*14459000</f>
        <v>14459000</v>
      </c>
      <c r="I42" s="15">
        <v>0</v>
      </c>
      <c r="J42" s="15">
        <f>I42*17861000</f>
        <v>0</v>
      </c>
      <c r="K42" s="15">
        <f t="shared" ref="K42:K48" si="8">SUM(C42,E42,G42,I42)</f>
        <v>3</v>
      </c>
      <c r="L42" s="15">
        <f t="shared" si="7"/>
        <v>33171000</v>
      </c>
    </row>
    <row r="43" spans="2:12" ht="13.5" x14ac:dyDescent="0.2">
      <c r="B43" s="2" t="s">
        <v>28</v>
      </c>
      <c r="C43" s="15">
        <v>4</v>
      </c>
      <c r="D43" s="15">
        <f>C43*4626000</f>
        <v>18504000</v>
      </c>
      <c r="E43" s="15">
        <v>5</v>
      </c>
      <c r="F43" s="15">
        <f>E43*6682000</f>
        <v>33410000</v>
      </c>
      <c r="G43" s="15">
        <v>11</v>
      </c>
      <c r="H43" s="15">
        <f>G43*8738000</f>
        <v>96118000</v>
      </c>
      <c r="I43" s="15">
        <v>0</v>
      </c>
      <c r="J43" s="15">
        <f>I43*10794000</f>
        <v>0</v>
      </c>
      <c r="K43" s="15">
        <f t="shared" si="8"/>
        <v>20</v>
      </c>
      <c r="L43" s="15">
        <f t="shared" si="7"/>
        <v>148032000</v>
      </c>
    </row>
    <row r="44" spans="2:12" ht="13.5" x14ac:dyDescent="0.2">
      <c r="B44" s="2" t="s">
        <v>29</v>
      </c>
      <c r="C44" s="15"/>
      <c r="D44" s="15">
        <f>C44*17703000</f>
        <v>0</v>
      </c>
      <c r="E44" s="15"/>
      <c r="F44" s="15">
        <f>E44*25571000</f>
        <v>0</v>
      </c>
      <c r="G44" s="15">
        <v>1</v>
      </c>
      <c r="H44" s="15">
        <f>G44*33439000</f>
        <v>33439000</v>
      </c>
      <c r="I44" s="15">
        <v>0</v>
      </c>
      <c r="J44" s="15">
        <f>I44*41307000</f>
        <v>0</v>
      </c>
      <c r="K44" s="15">
        <f t="shared" si="8"/>
        <v>1</v>
      </c>
      <c r="L44" s="15">
        <f t="shared" si="7"/>
        <v>33439000</v>
      </c>
    </row>
    <row r="45" spans="2:12" ht="13.5" x14ac:dyDescent="0.2">
      <c r="B45" s="2" t="s">
        <v>30</v>
      </c>
      <c r="C45" s="15">
        <v>2</v>
      </c>
      <c r="D45" s="15">
        <f>C45*5351000</f>
        <v>10702000</v>
      </c>
      <c r="E45" s="15">
        <v>6</v>
      </c>
      <c r="F45" s="15">
        <f>E45*7729000</f>
        <v>46374000</v>
      </c>
      <c r="G45" s="15">
        <v>4</v>
      </c>
      <c r="H45" s="15">
        <f>G45*10107000</f>
        <v>40428000</v>
      </c>
      <c r="I45" s="15">
        <v>0</v>
      </c>
      <c r="J45" s="15">
        <f>I45*12485000</f>
        <v>0</v>
      </c>
      <c r="K45" s="15">
        <f t="shared" si="8"/>
        <v>12</v>
      </c>
      <c r="L45" s="15">
        <f t="shared" si="7"/>
        <v>97504000</v>
      </c>
    </row>
    <row r="46" spans="2:12" ht="13.5" x14ac:dyDescent="0.2">
      <c r="B46" s="10" t="s">
        <v>13</v>
      </c>
      <c r="C46" s="16">
        <f t="shared" ref="C46:J46" si="9">SUM(C39,C40,C41,C42,C43,C44,C45)</f>
        <v>9</v>
      </c>
      <c r="D46" s="16">
        <f t="shared" si="9"/>
        <v>55064000</v>
      </c>
      <c r="E46" s="16">
        <f t="shared" si="9"/>
        <v>19</v>
      </c>
      <c r="F46" s="16">
        <f t="shared" si="9"/>
        <v>186048000</v>
      </c>
      <c r="G46" s="16">
        <f t="shared" si="9"/>
        <v>28</v>
      </c>
      <c r="H46" s="16">
        <f t="shared" si="9"/>
        <v>410995000</v>
      </c>
      <c r="I46" s="16">
        <f t="shared" si="9"/>
        <v>0</v>
      </c>
      <c r="J46" s="16">
        <f t="shared" si="9"/>
        <v>0</v>
      </c>
      <c r="K46" s="16">
        <f t="shared" si="8"/>
        <v>56</v>
      </c>
      <c r="L46" s="16">
        <f>SUM(L39,L40,L41,L42,L43,L44,L45)</f>
        <v>652107000</v>
      </c>
    </row>
    <row r="47" spans="2:12" ht="27" x14ac:dyDescent="0.2">
      <c r="B47" s="2" t="s">
        <v>14</v>
      </c>
      <c r="C47" s="15">
        <v>11</v>
      </c>
      <c r="D47" s="15">
        <f>C47*6472000</f>
        <v>71192000</v>
      </c>
      <c r="E47" s="15">
        <v>10</v>
      </c>
      <c r="F47" s="15">
        <f>E47*9350000</f>
        <v>93500000</v>
      </c>
      <c r="G47" s="15">
        <v>11</v>
      </c>
      <c r="H47" s="15">
        <f>G47*12227000</f>
        <v>134497000</v>
      </c>
      <c r="I47" s="15">
        <v>0</v>
      </c>
      <c r="J47" s="15">
        <f>I47*15103000</f>
        <v>0</v>
      </c>
      <c r="K47" s="15">
        <f t="shared" si="8"/>
        <v>32</v>
      </c>
      <c r="L47" s="15">
        <f>SUM(D47,F47,H47,J47)</f>
        <v>299189000</v>
      </c>
    </row>
    <row r="48" spans="2:12" ht="13.5" x14ac:dyDescent="0.2">
      <c r="B48" s="10" t="s">
        <v>13</v>
      </c>
      <c r="C48" s="16">
        <f t="shared" ref="C48:J48" si="10">SUM(C46,C47)</f>
        <v>20</v>
      </c>
      <c r="D48" s="16">
        <f t="shared" si="10"/>
        <v>126256000</v>
      </c>
      <c r="E48" s="16">
        <f t="shared" si="10"/>
        <v>29</v>
      </c>
      <c r="F48" s="16">
        <f t="shared" si="10"/>
        <v>279548000</v>
      </c>
      <c r="G48" s="16">
        <f t="shared" si="10"/>
        <v>39</v>
      </c>
      <c r="H48" s="16">
        <f t="shared" si="10"/>
        <v>545492000</v>
      </c>
      <c r="I48" s="16">
        <f t="shared" si="10"/>
        <v>0</v>
      </c>
      <c r="J48" s="16">
        <f t="shared" si="10"/>
        <v>0</v>
      </c>
      <c r="K48" s="16">
        <f t="shared" si="8"/>
        <v>88</v>
      </c>
      <c r="L48" s="16">
        <f>SUM(D48,F48,H48,J48)</f>
        <v>951296000</v>
      </c>
    </row>
    <row r="49" spans="2:12" ht="9.75" customHeight="1" x14ac:dyDescent="0.2"/>
    <row r="50" spans="2:12" ht="13.5" x14ac:dyDescent="0.2">
      <c r="B50" s="19" t="s">
        <v>65</v>
      </c>
      <c r="C50" s="19"/>
      <c r="D50" s="19"/>
      <c r="E50" s="19"/>
      <c r="F50" s="19"/>
      <c r="G50" s="19"/>
      <c r="H50" s="19"/>
      <c r="I50" s="19"/>
      <c r="J50" s="19"/>
      <c r="K50" s="19"/>
      <c r="L50" s="19"/>
    </row>
    <row r="51" spans="2:12" ht="8.25" customHeight="1" x14ac:dyDescent="0.2"/>
    <row r="52" spans="2:12" s="5" customFormat="1" ht="30" customHeight="1" x14ac:dyDescent="0.2">
      <c r="B52" s="10" t="s">
        <v>1</v>
      </c>
      <c r="C52" s="10" t="s">
        <v>2</v>
      </c>
      <c r="D52" s="10" t="s">
        <v>6</v>
      </c>
      <c r="E52" s="10" t="s">
        <v>3</v>
      </c>
      <c r="F52" s="10" t="s">
        <v>6</v>
      </c>
      <c r="G52" s="10" t="s">
        <v>4</v>
      </c>
      <c r="H52" s="10" t="s">
        <v>6</v>
      </c>
      <c r="I52" s="10" t="s">
        <v>5</v>
      </c>
      <c r="J52" s="10" t="s">
        <v>6</v>
      </c>
      <c r="K52" s="10" t="s">
        <v>7</v>
      </c>
      <c r="L52" s="10" t="s">
        <v>6</v>
      </c>
    </row>
    <row r="53" spans="2:12" ht="13.5" x14ac:dyDescent="0.2">
      <c r="B53" s="2" t="s">
        <v>31</v>
      </c>
      <c r="C53" s="15">
        <v>9</v>
      </c>
      <c r="D53" s="15">
        <f>C53*6604000</f>
        <v>59436000</v>
      </c>
      <c r="E53" s="15">
        <v>22</v>
      </c>
      <c r="F53" s="15">
        <f>E53*9539000</f>
        <v>209858000</v>
      </c>
      <c r="G53" s="15">
        <v>18</v>
      </c>
      <c r="H53" s="15">
        <f>G53*12474000</f>
        <v>224532000</v>
      </c>
      <c r="I53" s="15"/>
      <c r="J53" s="15">
        <f>I53*15409000</f>
        <v>0</v>
      </c>
      <c r="K53" s="15">
        <f t="shared" ref="K53:L55" si="11">SUM(C53,E53,G53,I53)</f>
        <v>49</v>
      </c>
      <c r="L53" s="15">
        <f t="shared" si="11"/>
        <v>493826000</v>
      </c>
    </row>
    <row r="54" spans="2:12" ht="13.5" x14ac:dyDescent="0.2">
      <c r="B54" s="2" t="s">
        <v>32</v>
      </c>
      <c r="C54" s="15">
        <v>3</v>
      </c>
      <c r="D54" s="15">
        <f>C54*3737000</f>
        <v>11211000</v>
      </c>
      <c r="E54" s="15">
        <v>6</v>
      </c>
      <c r="F54" s="15">
        <f>E54*5398000</f>
        <v>32388000</v>
      </c>
      <c r="G54" s="15">
        <v>8</v>
      </c>
      <c r="H54" s="15">
        <f>G54*7059000</f>
        <v>56472000</v>
      </c>
      <c r="I54" s="15">
        <v>0</v>
      </c>
      <c r="J54" s="15">
        <f>I54*8720000</f>
        <v>0</v>
      </c>
      <c r="K54" s="15">
        <f t="shared" si="11"/>
        <v>17</v>
      </c>
      <c r="L54" s="15">
        <f t="shared" si="11"/>
        <v>100071000</v>
      </c>
    </row>
    <row r="55" spans="2:12" ht="13.5" x14ac:dyDescent="0.2">
      <c r="B55" s="2" t="s">
        <v>33</v>
      </c>
      <c r="C55" s="15">
        <v>1</v>
      </c>
      <c r="D55" s="15">
        <f>C55*2822000</f>
        <v>2822000</v>
      </c>
      <c r="E55" s="15">
        <v>2</v>
      </c>
      <c r="F55" s="15">
        <f>E55*4076000</f>
        <v>8152000</v>
      </c>
      <c r="G55" s="15">
        <v>3</v>
      </c>
      <c r="H55" s="15">
        <f>G55*5330000</f>
        <v>15990000</v>
      </c>
      <c r="I55" s="15">
        <v>0</v>
      </c>
      <c r="J55" s="15">
        <f>I55*6584000</f>
        <v>0</v>
      </c>
      <c r="K55" s="15">
        <f t="shared" si="11"/>
        <v>6</v>
      </c>
      <c r="L55" s="15">
        <f t="shared" si="11"/>
        <v>26964000</v>
      </c>
    </row>
    <row r="56" spans="2:12" ht="13.5" x14ac:dyDescent="0.2">
      <c r="B56" s="10" t="s">
        <v>13</v>
      </c>
      <c r="C56" s="16">
        <f>SUM(C51,C52,C53,C54,C55)</f>
        <v>13</v>
      </c>
      <c r="D56" s="16">
        <f>SUM(D53,D54,D55,F59)</f>
        <v>73469000</v>
      </c>
      <c r="E56" s="16">
        <f>SUM(E51,E52,E53,E54,E55)</f>
        <v>30</v>
      </c>
      <c r="F56" s="16">
        <f>SUM(F53,F54,F55,H59)</f>
        <v>250398000</v>
      </c>
      <c r="G56" s="16">
        <f>SUM(G51,G52,G53,G54,G55)</f>
        <v>29</v>
      </c>
      <c r="H56" s="16">
        <f>SUM(H53,H54,H55,J59)</f>
        <v>296994000</v>
      </c>
      <c r="I56" s="16">
        <f>SUM(I51,I52,I53,I54,I55)</f>
        <v>0</v>
      </c>
      <c r="J56" s="16">
        <f>SUM(J53,J54,J55,L59)</f>
        <v>0</v>
      </c>
      <c r="K56" s="16">
        <f>SUM(C56,E56,G56,I56)</f>
        <v>72</v>
      </c>
      <c r="L56" s="16">
        <f>SUM(L53,L54,L55,)</f>
        <v>620861000</v>
      </c>
    </row>
    <row r="57" spans="2:12" ht="27" x14ac:dyDescent="0.2">
      <c r="B57" s="2" t="s">
        <v>14</v>
      </c>
      <c r="C57" s="15">
        <v>7</v>
      </c>
      <c r="D57" s="15">
        <f>C57*3948000</f>
        <v>27636000</v>
      </c>
      <c r="E57" s="15">
        <v>2</v>
      </c>
      <c r="F57" s="15">
        <f>E57*5703000</f>
        <v>11406000</v>
      </c>
      <c r="G57" s="15">
        <v>16</v>
      </c>
      <c r="H57" s="15">
        <f>G57*7458000</f>
        <v>119328000</v>
      </c>
      <c r="I57" s="15"/>
      <c r="J57" s="15">
        <f>I57*9213000</f>
        <v>0</v>
      </c>
      <c r="K57" s="15">
        <f>SUM(C57,E57,G57,I57)</f>
        <v>25</v>
      </c>
      <c r="L57" s="15">
        <f>SUM(D57,F57,H57,J57)</f>
        <v>158370000</v>
      </c>
    </row>
    <row r="58" spans="2:12" ht="13.5" x14ac:dyDescent="0.2">
      <c r="B58" s="10" t="s">
        <v>13</v>
      </c>
      <c r="C58" s="16">
        <f t="shared" ref="C58:J58" si="12">SUM(C56,C57)</f>
        <v>20</v>
      </c>
      <c r="D58" s="16">
        <f t="shared" si="12"/>
        <v>101105000</v>
      </c>
      <c r="E58" s="16">
        <f t="shared" si="12"/>
        <v>32</v>
      </c>
      <c r="F58" s="16">
        <f t="shared" si="12"/>
        <v>261804000</v>
      </c>
      <c r="G58" s="16">
        <f t="shared" si="12"/>
        <v>45</v>
      </c>
      <c r="H58" s="16">
        <f t="shared" si="12"/>
        <v>416322000</v>
      </c>
      <c r="I58" s="16">
        <f t="shared" si="12"/>
        <v>0</v>
      </c>
      <c r="J58" s="16">
        <f t="shared" si="12"/>
        <v>0</v>
      </c>
      <c r="K58" s="16">
        <f>SUM(C58,E58,G58,I58)</f>
        <v>97</v>
      </c>
      <c r="L58" s="16">
        <f>SUM(D58,F58,H58,J58)</f>
        <v>779231000</v>
      </c>
    </row>
    <row r="59" spans="2:12" ht="9" customHeight="1" x14ac:dyDescent="0.2"/>
    <row r="60" spans="2:12" ht="13.5" x14ac:dyDescent="0.2">
      <c r="B60" s="19" t="s">
        <v>64</v>
      </c>
      <c r="C60" s="19"/>
      <c r="D60" s="19"/>
      <c r="E60" s="19"/>
      <c r="F60" s="19"/>
      <c r="G60" s="19"/>
      <c r="H60" s="19"/>
      <c r="I60" s="19"/>
      <c r="J60" s="19"/>
      <c r="K60" s="19"/>
      <c r="L60" s="19"/>
    </row>
    <row r="61" spans="2:12" ht="6.75" customHeight="1" x14ac:dyDescent="0.2"/>
    <row r="62" spans="2:12" s="5" customFormat="1" ht="30" customHeight="1" x14ac:dyDescent="0.2">
      <c r="B62" s="10" t="s">
        <v>1</v>
      </c>
      <c r="C62" s="10" t="s">
        <v>2</v>
      </c>
      <c r="D62" s="10" t="s">
        <v>6</v>
      </c>
      <c r="E62" s="10" t="s">
        <v>3</v>
      </c>
      <c r="F62" s="10" t="s">
        <v>6</v>
      </c>
      <c r="G62" s="10" t="s">
        <v>4</v>
      </c>
      <c r="H62" s="10" t="s">
        <v>6</v>
      </c>
      <c r="I62" s="10" t="s">
        <v>5</v>
      </c>
      <c r="J62" s="10" t="s">
        <v>6</v>
      </c>
      <c r="K62" s="10" t="s">
        <v>7</v>
      </c>
      <c r="L62" s="10" t="s">
        <v>6</v>
      </c>
    </row>
    <row r="63" spans="2:12" ht="13.5" x14ac:dyDescent="0.2">
      <c r="B63" s="2" t="s">
        <v>34</v>
      </c>
      <c r="C63" s="15">
        <v>6</v>
      </c>
      <c r="D63" s="15">
        <f>C63*7254000</f>
        <v>43524000</v>
      </c>
      <c r="E63" s="15">
        <v>7</v>
      </c>
      <c r="F63" s="15">
        <f>E63*10478000</f>
        <v>73346000</v>
      </c>
      <c r="G63" s="15">
        <v>19</v>
      </c>
      <c r="H63" s="15">
        <f>G63*13702000</f>
        <v>260338000</v>
      </c>
      <c r="I63" s="15">
        <v>0</v>
      </c>
      <c r="J63" s="15">
        <f>I63*16926000</f>
        <v>0</v>
      </c>
      <c r="K63" s="15">
        <f t="shared" ref="K63:L67" si="13">SUM(C63,E63,G63,I63)</f>
        <v>32</v>
      </c>
      <c r="L63" s="15">
        <f t="shared" si="13"/>
        <v>377208000</v>
      </c>
    </row>
    <row r="64" spans="2:12" ht="13.5" x14ac:dyDescent="0.2">
      <c r="B64" s="2" t="s">
        <v>35</v>
      </c>
      <c r="C64" s="15">
        <v>2</v>
      </c>
      <c r="D64" s="15">
        <f>C64*6377000</f>
        <v>12754000</v>
      </c>
      <c r="E64" s="15">
        <v>8</v>
      </c>
      <c r="F64" s="15">
        <f>E64*9211000</f>
        <v>73688000</v>
      </c>
      <c r="G64" s="15">
        <v>6</v>
      </c>
      <c r="H64" s="15">
        <f>G64*12045000</f>
        <v>72270000</v>
      </c>
      <c r="I64" s="15">
        <v>0</v>
      </c>
      <c r="J64" s="15">
        <f>I64*14879000</f>
        <v>0</v>
      </c>
      <c r="K64" s="15">
        <f t="shared" si="13"/>
        <v>16</v>
      </c>
      <c r="L64" s="15">
        <f t="shared" si="13"/>
        <v>158712000</v>
      </c>
    </row>
    <row r="65" spans="2:12" ht="13.5" x14ac:dyDescent="0.2">
      <c r="B65" s="2" t="s">
        <v>36</v>
      </c>
      <c r="C65" s="15">
        <v>5</v>
      </c>
      <c r="D65" s="15">
        <f>C65*4419000</f>
        <v>22095000</v>
      </c>
      <c r="E65" s="15">
        <v>3</v>
      </c>
      <c r="F65" s="15">
        <f>E65*6383000</f>
        <v>19149000</v>
      </c>
      <c r="G65" s="15">
        <v>14</v>
      </c>
      <c r="H65" s="15">
        <f>G65*8347000</f>
        <v>116858000</v>
      </c>
      <c r="I65" s="15">
        <v>0</v>
      </c>
      <c r="J65" s="15">
        <f>I65*10311000</f>
        <v>0</v>
      </c>
      <c r="K65" s="15">
        <f t="shared" si="13"/>
        <v>22</v>
      </c>
      <c r="L65" s="15">
        <f t="shared" si="13"/>
        <v>158102000</v>
      </c>
    </row>
    <row r="66" spans="2:12" ht="13.5" x14ac:dyDescent="0.2">
      <c r="B66" s="2" t="s">
        <v>37</v>
      </c>
      <c r="C66" s="15">
        <v>1</v>
      </c>
      <c r="D66" s="15">
        <f>C66*5198000</f>
        <v>5198000</v>
      </c>
      <c r="E66" s="15">
        <v>4</v>
      </c>
      <c r="F66" s="15">
        <f>E66*7508000</f>
        <v>30032000</v>
      </c>
      <c r="G66" s="15">
        <v>2</v>
      </c>
      <c r="H66" s="15">
        <f>G66*9818000</f>
        <v>19636000</v>
      </c>
      <c r="I66" s="15">
        <v>0</v>
      </c>
      <c r="J66" s="15">
        <f>I66*12128000</f>
        <v>0</v>
      </c>
      <c r="K66" s="15">
        <f t="shared" si="13"/>
        <v>7</v>
      </c>
      <c r="L66" s="15">
        <f t="shared" si="13"/>
        <v>54866000</v>
      </c>
    </row>
    <row r="67" spans="2:12" ht="13.5" x14ac:dyDescent="0.2">
      <c r="B67" s="2" t="s">
        <v>38</v>
      </c>
      <c r="C67" s="15">
        <v>2</v>
      </c>
      <c r="D67" s="15">
        <f>C67*5103000</f>
        <v>10206000</v>
      </c>
      <c r="E67" s="15"/>
      <c r="F67" s="15">
        <f>E67*7371000</f>
        <v>0</v>
      </c>
      <c r="G67" s="15">
        <v>0</v>
      </c>
      <c r="H67" s="15">
        <f>G67*9639000</f>
        <v>0</v>
      </c>
      <c r="I67" s="15">
        <v>0</v>
      </c>
      <c r="J67" s="15">
        <f>I67*11907000</f>
        <v>0</v>
      </c>
      <c r="K67" s="15">
        <f t="shared" si="13"/>
        <v>2</v>
      </c>
      <c r="L67" s="15">
        <f t="shared" si="13"/>
        <v>10206000</v>
      </c>
    </row>
    <row r="68" spans="2:12" ht="13.5" x14ac:dyDescent="0.2">
      <c r="B68" s="10" t="s">
        <v>13</v>
      </c>
      <c r="C68" s="16">
        <f t="shared" ref="C68:J68" si="14">SUM(C63,C64,C65,C66,C67,)</f>
        <v>16</v>
      </c>
      <c r="D68" s="16">
        <f t="shared" si="14"/>
        <v>93777000</v>
      </c>
      <c r="E68" s="16">
        <f t="shared" si="14"/>
        <v>22</v>
      </c>
      <c r="F68" s="16">
        <f t="shared" si="14"/>
        <v>196215000</v>
      </c>
      <c r="G68" s="16">
        <f t="shared" si="14"/>
        <v>41</v>
      </c>
      <c r="H68" s="16">
        <f t="shared" si="14"/>
        <v>469102000</v>
      </c>
      <c r="I68" s="16">
        <f t="shared" si="14"/>
        <v>0</v>
      </c>
      <c r="J68" s="16">
        <f t="shared" si="14"/>
        <v>0</v>
      </c>
      <c r="K68" s="16">
        <f>SUM(C68,E68,G68,I68)</f>
        <v>79</v>
      </c>
      <c r="L68" s="16">
        <f>SUM(L63,L64,L65,L66,L67,)</f>
        <v>759094000</v>
      </c>
    </row>
    <row r="69" spans="2:12" ht="27" x14ac:dyDescent="0.2">
      <c r="B69" s="2" t="s">
        <v>14</v>
      </c>
      <c r="C69" s="15">
        <v>2</v>
      </c>
      <c r="D69" s="15">
        <f>C69*5103000</f>
        <v>10206000</v>
      </c>
      <c r="E69" s="15">
        <v>6</v>
      </c>
      <c r="F69" s="15">
        <f>E69*7371000</f>
        <v>44226000</v>
      </c>
      <c r="G69" s="15">
        <v>12</v>
      </c>
      <c r="H69" s="15">
        <f>G69*9639000</f>
        <v>115668000</v>
      </c>
      <c r="I69" s="15">
        <v>1</v>
      </c>
      <c r="J69" s="15">
        <f>I69*11907000</f>
        <v>11907000</v>
      </c>
      <c r="K69" s="15">
        <f>SUM(C69,E69,G69,I69)</f>
        <v>21</v>
      </c>
      <c r="L69" s="15">
        <f>SUM(D69,F69,H69,J69)</f>
        <v>182007000</v>
      </c>
    </row>
    <row r="70" spans="2:12" ht="13.5" x14ac:dyDescent="0.2">
      <c r="B70" s="10" t="s">
        <v>13</v>
      </c>
      <c r="C70" s="16">
        <f t="shared" ref="C70:J70" si="15">SUM(C68,C69)</f>
        <v>18</v>
      </c>
      <c r="D70" s="16">
        <f t="shared" si="15"/>
        <v>103983000</v>
      </c>
      <c r="E70" s="16">
        <f t="shared" si="15"/>
        <v>28</v>
      </c>
      <c r="F70" s="16">
        <f t="shared" si="15"/>
        <v>240441000</v>
      </c>
      <c r="G70" s="16">
        <f t="shared" si="15"/>
        <v>53</v>
      </c>
      <c r="H70" s="16">
        <f t="shared" si="15"/>
        <v>584770000</v>
      </c>
      <c r="I70" s="16">
        <f t="shared" si="15"/>
        <v>1</v>
      </c>
      <c r="J70" s="16">
        <f t="shared" si="15"/>
        <v>11907000</v>
      </c>
      <c r="K70" s="16">
        <f>SUM(C70,E70,G70,I70)</f>
        <v>100</v>
      </c>
      <c r="L70" s="16">
        <f>SUM(D70,F70,H70,J70)</f>
        <v>941101000</v>
      </c>
    </row>
    <row r="71" spans="2:12" ht="12.75" customHeight="1" x14ac:dyDescent="0.2">
      <c r="H71" s="13"/>
    </row>
    <row r="72" spans="2:12" ht="13.5" x14ac:dyDescent="0.2">
      <c r="B72" s="19" t="s">
        <v>63</v>
      </c>
      <c r="C72" s="19"/>
      <c r="D72" s="19"/>
      <c r="E72" s="19"/>
      <c r="F72" s="19"/>
      <c r="G72" s="19"/>
      <c r="H72" s="19"/>
      <c r="I72" s="19"/>
      <c r="J72" s="19"/>
      <c r="K72" s="19"/>
      <c r="L72" s="19"/>
    </row>
    <row r="74" spans="2:12" s="5" customFormat="1" ht="30" customHeight="1" x14ac:dyDescent="0.2">
      <c r="B74" s="10" t="s">
        <v>1</v>
      </c>
      <c r="C74" s="10" t="s">
        <v>2</v>
      </c>
      <c r="D74" s="10" t="s">
        <v>6</v>
      </c>
      <c r="E74" s="10" t="s">
        <v>3</v>
      </c>
      <c r="F74" s="10" t="s">
        <v>6</v>
      </c>
      <c r="G74" s="10" t="s">
        <v>4</v>
      </c>
      <c r="H74" s="10" t="s">
        <v>6</v>
      </c>
      <c r="I74" s="10" t="s">
        <v>5</v>
      </c>
      <c r="J74" s="10" t="s">
        <v>6</v>
      </c>
      <c r="K74" s="10" t="s">
        <v>7</v>
      </c>
      <c r="L74" s="10" t="s">
        <v>6</v>
      </c>
    </row>
    <row r="75" spans="2:12" s="5" customFormat="1" ht="13.5" x14ac:dyDescent="0.2">
      <c r="B75" s="2" t="s">
        <v>39</v>
      </c>
      <c r="C75" s="15">
        <v>2</v>
      </c>
      <c r="D75" s="15">
        <f>C75*7551000</f>
        <v>15102000</v>
      </c>
      <c r="E75" s="15">
        <v>4</v>
      </c>
      <c r="F75" s="15">
        <f>E75*10907000</f>
        <v>43628000</v>
      </c>
      <c r="G75" s="15">
        <v>3</v>
      </c>
      <c r="H75" s="15">
        <f>G75*14263000</f>
        <v>42789000</v>
      </c>
      <c r="I75" s="15">
        <v>0</v>
      </c>
      <c r="J75" s="15">
        <f>I75*17619000</f>
        <v>0</v>
      </c>
      <c r="K75" s="15">
        <f t="shared" ref="K75:L78" si="16">SUM(C75,E75,G75,I75)</f>
        <v>9</v>
      </c>
      <c r="L75" s="15">
        <f t="shared" si="16"/>
        <v>101519000</v>
      </c>
    </row>
    <row r="76" spans="2:12" s="4" customFormat="1" ht="13.5" x14ac:dyDescent="0.2">
      <c r="B76" s="2" t="s">
        <v>40</v>
      </c>
      <c r="C76" s="15">
        <v>2</v>
      </c>
      <c r="D76" s="15">
        <f>C76*7695000</f>
        <v>15390000</v>
      </c>
      <c r="E76" s="15">
        <v>3</v>
      </c>
      <c r="F76" s="15">
        <f>E76*11115000</f>
        <v>33345000</v>
      </c>
      <c r="G76" s="15">
        <v>3</v>
      </c>
      <c r="H76" s="15">
        <f>G76*14535000</f>
        <v>43605000</v>
      </c>
      <c r="I76" s="15"/>
      <c r="J76" s="15">
        <f>I76*17955000</f>
        <v>0</v>
      </c>
      <c r="K76" s="15">
        <f t="shared" si="16"/>
        <v>8</v>
      </c>
      <c r="L76" s="15">
        <f t="shared" si="16"/>
        <v>92340000</v>
      </c>
    </row>
    <row r="77" spans="2:12" s="4" customFormat="1" ht="13.5" x14ac:dyDescent="0.2">
      <c r="B77" s="2" t="s">
        <v>41</v>
      </c>
      <c r="C77" s="15">
        <v>0</v>
      </c>
      <c r="D77" s="15">
        <f>C77*6152000</f>
        <v>0</v>
      </c>
      <c r="E77" s="15"/>
      <c r="F77" s="15">
        <f>E77*8886000</f>
        <v>0</v>
      </c>
      <c r="G77" s="15">
        <v>3</v>
      </c>
      <c r="H77" s="15">
        <f>G77*11620000</f>
        <v>34860000</v>
      </c>
      <c r="I77" s="15">
        <v>0</v>
      </c>
      <c r="J77" s="15">
        <f>I77*14354000</f>
        <v>0</v>
      </c>
      <c r="K77" s="15">
        <f t="shared" si="16"/>
        <v>3</v>
      </c>
      <c r="L77" s="15">
        <f t="shared" si="16"/>
        <v>34860000</v>
      </c>
    </row>
    <row r="78" spans="2:12" s="4" customFormat="1" ht="13.5" x14ac:dyDescent="0.2">
      <c r="B78" s="2" t="s">
        <v>42</v>
      </c>
      <c r="C78" s="15">
        <v>3</v>
      </c>
      <c r="D78" s="15">
        <f>C78*5688000</f>
        <v>17064000</v>
      </c>
      <c r="E78" s="15">
        <v>4</v>
      </c>
      <c r="F78" s="15">
        <f>E78*8216000</f>
        <v>32864000</v>
      </c>
      <c r="G78" s="15">
        <v>2</v>
      </c>
      <c r="H78" s="15">
        <f>G78*10744000</f>
        <v>21488000</v>
      </c>
      <c r="I78" s="15">
        <v>0</v>
      </c>
      <c r="J78" s="15">
        <f>I78*13272000</f>
        <v>0</v>
      </c>
      <c r="K78" s="15">
        <f t="shared" si="16"/>
        <v>9</v>
      </c>
      <c r="L78" s="15">
        <f t="shared" si="16"/>
        <v>71416000</v>
      </c>
    </row>
    <row r="79" spans="2:12" s="4" customFormat="1" ht="13.5" x14ac:dyDescent="0.2">
      <c r="B79" s="10" t="s">
        <v>13</v>
      </c>
      <c r="C79" s="16">
        <f>SUM(C75,C76,C77,C78,)</f>
        <v>7</v>
      </c>
      <c r="D79" s="16">
        <f t="shared" ref="D79:J79" si="17">SUM(D75,D76,D77,D78,)</f>
        <v>47556000</v>
      </c>
      <c r="E79" s="16">
        <f t="shared" si="17"/>
        <v>11</v>
      </c>
      <c r="F79" s="16">
        <f t="shared" si="17"/>
        <v>109837000</v>
      </c>
      <c r="G79" s="16">
        <f t="shared" si="17"/>
        <v>11</v>
      </c>
      <c r="H79" s="16">
        <f t="shared" si="17"/>
        <v>142742000</v>
      </c>
      <c r="I79" s="16">
        <f t="shared" si="17"/>
        <v>0</v>
      </c>
      <c r="J79" s="16">
        <f t="shared" si="17"/>
        <v>0</v>
      </c>
      <c r="K79" s="16">
        <f>SUM(C79,E79,G79,I79)</f>
        <v>29</v>
      </c>
      <c r="L79" s="16">
        <f>SUM(L75,L76,L77,L78,)</f>
        <v>300135000</v>
      </c>
    </row>
    <row r="80" spans="2:12" s="4" customFormat="1" ht="27" x14ac:dyDescent="0.2">
      <c r="B80" s="2" t="s">
        <v>14</v>
      </c>
      <c r="C80" s="15">
        <v>8</v>
      </c>
      <c r="D80" s="15">
        <f>C80*6093000</f>
        <v>48744000</v>
      </c>
      <c r="E80" s="15">
        <v>7</v>
      </c>
      <c r="F80" s="15">
        <f>E80*8802000</f>
        <v>61614000</v>
      </c>
      <c r="G80" s="15">
        <v>21</v>
      </c>
      <c r="H80" s="15">
        <f>G80*11511000</f>
        <v>241731000</v>
      </c>
      <c r="I80" s="15"/>
      <c r="J80" s="15">
        <f>I80*14220000</f>
        <v>0</v>
      </c>
      <c r="K80" s="15">
        <f>SUM(C80,E80,G80,I80)</f>
        <v>36</v>
      </c>
      <c r="L80" s="15">
        <f>SUM(D80,F80,H80,J80)</f>
        <v>352089000</v>
      </c>
    </row>
    <row r="81" spans="2:12" s="4" customFormat="1" ht="13.5" x14ac:dyDescent="0.2">
      <c r="B81" s="10" t="s">
        <v>13</v>
      </c>
      <c r="C81" s="16">
        <f t="shared" ref="C81:J81" si="18">SUM(C79,C80)</f>
        <v>15</v>
      </c>
      <c r="D81" s="16">
        <f t="shared" si="18"/>
        <v>96300000</v>
      </c>
      <c r="E81" s="16">
        <f t="shared" si="18"/>
        <v>18</v>
      </c>
      <c r="F81" s="16">
        <f t="shared" si="18"/>
        <v>171451000</v>
      </c>
      <c r="G81" s="16">
        <f t="shared" si="18"/>
        <v>32</v>
      </c>
      <c r="H81" s="16">
        <f t="shared" si="18"/>
        <v>384473000</v>
      </c>
      <c r="I81" s="16">
        <f t="shared" si="18"/>
        <v>0</v>
      </c>
      <c r="J81" s="16">
        <f t="shared" si="18"/>
        <v>0</v>
      </c>
      <c r="K81" s="16">
        <f>SUM(C81,E81,G81,I81)</f>
        <v>65</v>
      </c>
      <c r="L81" s="16">
        <f>SUM(D81,F81,H81,J81)</f>
        <v>652224000</v>
      </c>
    </row>
    <row r="83" spans="2:12" ht="13.5" x14ac:dyDescent="0.2">
      <c r="B83" s="19" t="s">
        <v>62</v>
      </c>
      <c r="C83" s="19"/>
      <c r="D83" s="19"/>
      <c r="E83" s="19"/>
      <c r="F83" s="19"/>
      <c r="G83" s="19"/>
      <c r="H83" s="19"/>
      <c r="I83" s="19"/>
      <c r="J83" s="19"/>
      <c r="K83" s="19"/>
      <c r="L83" s="19"/>
    </row>
    <row r="85" spans="2:12" s="5" customFormat="1" ht="30" customHeight="1" x14ac:dyDescent="0.2">
      <c r="B85" s="10" t="s">
        <v>1</v>
      </c>
      <c r="C85" s="10" t="s">
        <v>2</v>
      </c>
      <c r="D85" s="10" t="s">
        <v>6</v>
      </c>
      <c r="E85" s="10" t="s">
        <v>3</v>
      </c>
      <c r="F85" s="10" t="s">
        <v>6</v>
      </c>
      <c r="G85" s="10" t="s">
        <v>4</v>
      </c>
      <c r="H85" s="10" t="s">
        <v>6</v>
      </c>
      <c r="I85" s="10" t="s">
        <v>5</v>
      </c>
      <c r="J85" s="10" t="s">
        <v>6</v>
      </c>
      <c r="K85" s="10" t="s">
        <v>7</v>
      </c>
      <c r="L85" s="10" t="s">
        <v>6</v>
      </c>
    </row>
    <row r="86" spans="2:12" ht="13.5" x14ac:dyDescent="0.2">
      <c r="B86" s="2" t="s">
        <v>43</v>
      </c>
      <c r="C86" s="15">
        <v>1</v>
      </c>
      <c r="D86" s="15">
        <f>C86*10229000</f>
        <v>10229000</v>
      </c>
      <c r="E86" s="15">
        <v>6</v>
      </c>
      <c r="F86" s="15">
        <f>E86*14775000</f>
        <v>88650000</v>
      </c>
      <c r="G86" s="15">
        <v>6</v>
      </c>
      <c r="H86" s="15">
        <f>G86*19321000</f>
        <v>115926000</v>
      </c>
      <c r="I86" s="15">
        <v>0</v>
      </c>
      <c r="J86" s="15">
        <f>I86*23867000</f>
        <v>0</v>
      </c>
      <c r="K86" s="15">
        <f t="shared" ref="K86:L88" si="19">SUM(C86,E86,G86,I86)</f>
        <v>13</v>
      </c>
      <c r="L86" s="15">
        <f t="shared" si="19"/>
        <v>214805000</v>
      </c>
    </row>
    <row r="87" spans="2:12" ht="13.5" x14ac:dyDescent="0.2">
      <c r="B87" s="2" t="s">
        <v>44</v>
      </c>
      <c r="C87" s="15">
        <v>5</v>
      </c>
      <c r="D87" s="15">
        <f>C87*6440000</f>
        <v>32200000</v>
      </c>
      <c r="E87" s="15">
        <v>5</v>
      </c>
      <c r="F87" s="15">
        <f>E87*9302000</f>
        <v>46510000</v>
      </c>
      <c r="G87" s="15">
        <v>6</v>
      </c>
      <c r="H87" s="15">
        <f>G87*12164000</f>
        <v>72984000</v>
      </c>
      <c r="I87" s="15">
        <v>1</v>
      </c>
      <c r="J87" s="15">
        <f>I87*15026000</f>
        <v>15026000</v>
      </c>
      <c r="K87" s="15">
        <f t="shared" si="19"/>
        <v>17</v>
      </c>
      <c r="L87" s="15">
        <f t="shared" si="19"/>
        <v>166720000</v>
      </c>
    </row>
    <row r="88" spans="2:12" ht="13.5" x14ac:dyDescent="0.2">
      <c r="B88" s="2" t="s">
        <v>45</v>
      </c>
      <c r="C88" s="15">
        <v>1</v>
      </c>
      <c r="D88" s="15">
        <f>C88*4991000</f>
        <v>4991000</v>
      </c>
      <c r="E88" s="15"/>
      <c r="F88" s="15">
        <f>E88*7209000</f>
        <v>0</v>
      </c>
      <c r="G88" s="15">
        <v>3</v>
      </c>
      <c r="H88" s="15">
        <f>G88*9427000</f>
        <v>28281000</v>
      </c>
      <c r="I88" s="15">
        <v>1</v>
      </c>
      <c r="J88" s="15">
        <f>I88*11645000</f>
        <v>11645000</v>
      </c>
      <c r="K88" s="15">
        <f t="shared" si="19"/>
        <v>5</v>
      </c>
      <c r="L88" s="15">
        <f t="shared" si="19"/>
        <v>44917000</v>
      </c>
    </row>
    <row r="89" spans="2:12" ht="13.5" x14ac:dyDescent="0.2">
      <c r="B89" s="10" t="s">
        <v>13</v>
      </c>
      <c r="C89" s="16">
        <f>SUM(C84,C85,C86,C87,C88)</f>
        <v>7</v>
      </c>
      <c r="D89" s="16">
        <f>SUM(D86,D87,D88,F92)</f>
        <v>47420000</v>
      </c>
      <c r="E89" s="16">
        <f>SUM(E84,E85,E86,E87,E88)</f>
        <v>11</v>
      </c>
      <c r="F89" s="16">
        <f>SUM(F86,F87,F88,H92)</f>
        <v>135160000</v>
      </c>
      <c r="G89" s="16">
        <f>SUM(G84,G85,G86,G87,G88)</f>
        <v>15</v>
      </c>
      <c r="H89" s="16">
        <f>SUM(H86,H87,H88,J92)</f>
        <v>217191000</v>
      </c>
      <c r="I89" s="16">
        <f>SUM(I84,I85,I86,I87,I88)</f>
        <v>2</v>
      </c>
      <c r="J89" s="16">
        <f>SUM(J86,J87,J88,L92)</f>
        <v>26671000</v>
      </c>
      <c r="K89" s="16">
        <f>SUM(C89,E89,G89,I89)</f>
        <v>35</v>
      </c>
      <c r="L89" s="16">
        <f>SUM(L86,L87,L88,)</f>
        <v>426442000</v>
      </c>
    </row>
    <row r="90" spans="2:12" ht="27" x14ac:dyDescent="0.2">
      <c r="B90" s="2" t="s">
        <v>14</v>
      </c>
      <c r="C90" s="15">
        <v>7</v>
      </c>
      <c r="D90" s="15">
        <f>C90*6498000</f>
        <v>45486000</v>
      </c>
      <c r="E90" s="15">
        <v>11</v>
      </c>
      <c r="F90" s="15">
        <f>E90*9385000</f>
        <v>103235000</v>
      </c>
      <c r="G90" s="15">
        <v>13</v>
      </c>
      <c r="H90" s="15">
        <f>G90*12273000</f>
        <v>159549000</v>
      </c>
      <c r="I90" s="15"/>
      <c r="J90" s="15">
        <f>I90*15161000</f>
        <v>0</v>
      </c>
      <c r="K90" s="15">
        <f>SUM(C90,E90,G90,I90)</f>
        <v>31</v>
      </c>
      <c r="L90" s="15">
        <f>SUM(D90,F90,H90,J90)</f>
        <v>308270000</v>
      </c>
    </row>
    <row r="91" spans="2:12" ht="13.5" x14ac:dyDescent="0.2">
      <c r="B91" s="10" t="s">
        <v>13</v>
      </c>
      <c r="C91" s="16">
        <f t="shared" ref="C91:J91" si="20">SUM(C89,C90)</f>
        <v>14</v>
      </c>
      <c r="D91" s="16">
        <f t="shared" si="20"/>
        <v>92906000</v>
      </c>
      <c r="E91" s="16">
        <f t="shared" si="20"/>
        <v>22</v>
      </c>
      <c r="F91" s="16">
        <f t="shared" si="20"/>
        <v>238395000</v>
      </c>
      <c r="G91" s="16">
        <f t="shared" si="20"/>
        <v>28</v>
      </c>
      <c r="H91" s="16">
        <f t="shared" si="20"/>
        <v>376740000</v>
      </c>
      <c r="I91" s="16">
        <f t="shared" si="20"/>
        <v>2</v>
      </c>
      <c r="J91" s="16">
        <f t="shared" si="20"/>
        <v>26671000</v>
      </c>
      <c r="K91" s="16">
        <f>SUM(C91,E91,G91,I91)</f>
        <v>66</v>
      </c>
      <c r="L91" s="16">
        <f>SUM(D91,F91,H91,J91)</f>
        <v>734712000</v>
      </c>
    </row>
    <row r="93" spans="2:12" ht="13.5" x14ac:dyDescent="0.2">
      <c r="B93" s="19" t="s">
        <v>61</v>
      </c>
      <c r="C93" s="19"/>
      <c r="D93" s="19"/>
      <c r="E93" s="19"/>
      <c r="F93" s="19"/>
      <c r="G93" s="19"/>
      <c r="H93" s="19"/>
      <c r="I93" s="19"/>
      <c r="J93" s="19"/>
      <c r="K93" s="19"/>
      <c r="L93" s="19"/>
    </row>
    <row r="95" spans="2:12" s="5" customFormat="1" ht="30" customHeight="1" x14ac:dyDescent="0.2">
      <c r="B95" s="10" t="s">
        <v>1</v>
      </c>
      <c r="C95" s="10" t="s">
        <v>2</v>
      </c>
      <c r="D95" s="10" t="s">
        <v>6</v>
      </c>
      <c r="E95" s="10" t="s">
        <v>3</v>
      </c>
      <c r="F95" s="10" t="s">
        <v>6</v>
      </c>
      <c r="G95" s="10" t="s">
        <v>4</v>
      </c>
      <c r="H95" s="10" t="s">
        <v>6</v>
      </c>
      <c r="I95" s="10" t="s">
        <v>5</v>
      </c>
      <c r="J95" s="10" t="s">
        <v>6</v>
      </c>
      <c r="K95" s="10" t="s">
        <v>7</v>
      </c>
      <c r="L95" s="10" t="s">
        <v>6</v>
      </c>
    </row>
    <row r="96" spans="2:12" ht="13.5" x14ac:dyDescent="0.2">
      <c r="B96" s="2" t="s">
        <v>46</v>
      </c>
      <c r="C96" s="15"/>
      <c r="D96" s="15">
        <f>C96*5148000</f>
        <v>0</v>
      </c>
      <c r="E96" s="15">
        <v>3</v>
      </c>
      <c r="F96" s="15">
        <f>E96*7436000</f>
        <v>22308000</v>
      </c>
      <c r="G96" s="15">
        <v>2</v>
      </c>
      <c r="H96" s="15">
        <f>G96*9724000</f>
        <v>19448000</v>
      </c>
      <c r="I96" s="15"/>
      <c r="J96" s="15">
        <f>I96*12012000</f>
        <v>0</v>
      </c>
      <c r="K96" s="15">
        <f t="shared" ref="K96:L100" si="21">SUM(C96,E96,G96,I96)</f>
        <v>5</v>
      </c>
      <c r="L96" s="15">
        <f t="shared" si="21"/>
        <v>41756000</v>
      </c>
    </row>
    <row r="97" spans="2:12" ht="13.5" x14ac:dyDescent="0.2">
      <c r="B97" s="2" t="s">
        <v>47</v>
      </c>
      <c r="C97" s="15"/>
      <c r="D97" s="15">
        <f>C97*3321000</f>
        <v>0</v>
      </c>
      <c r="E97" s="15"/>
      <c r="F97" s="15">
        <f>E97*4797000</f>
        <v>0</v>
      </c>
      <c r="G97" s="15">
        <v>1</v>
      </c>
      <c r="H97" s="15">
        <f>G97*6273000</f>
        <v>6273000</v>
      </c>
      <c r="I97" s="15">
        <v>1</v>
      </c>
      <c r="J97" s="15">
        <f>I97*7749000</f>
        <v>7749000</v>
      </c>
      <c r="K97" s="15">
        <f t="shared" si="21"/>
        <v>2</v>
      </c>
      <c r="L97" s="15">
        <f t="shared" si="21"/>
        <v>14022000</v>
      </c>
    </row>
    <row r="98" spans="2:12" ht="13.5" x14ac:dyDescent="0.2">
      <c r="B98" s="2" t="s">
        <v>48</v>
      </c>
      <c r="C98" s="15">
        <v>1</v>
      </c>
      <c r="D98" s="15">
        <f>C98*5027000</f>
        <v>5027000</v>
      </c>
      <c r="E98" s="15">
        <v>1</v>
      </c>
      <c r="F98" s="15">
        <f>E98*7261000</f>
        <v>7261000</v>
      </c>
      <c r="G98" s="15">
        <v>2</v>
      </c>
      <c r="H98" s="15">
        <f>G98*9495000</f>
        <v>18990000</v>
      </c>
      <c r="I98" s="15"/>
      <c r="J98" s="15">
        <f>I98*11729000</f>
        <v>0</v>
      </c>
      <c r="K98" s="15">
        <f t="shared" si="21"/>
        <v>4</v>
      </c>
      <c r="L98" s="15">
        <f t="shared" si="21"/>
        <v>31278000</v>
      </c>
    </row>
    <row r="99" spans="2:12" ht="13.5" x14ac:dyDescent="0.2">
      <c r="B99" s="2" t="s">
        <v>49</v>
      </c>
      <c r="C99" s="15"/>
      <c r="D99" s="15">
        <f>C99*2563000</f>
        <v>0</v>
      </c>
      <c r="E99" s="15">
        <v>2</v>
      </c>
      <c r="F99" s="15">
        <f>E99*3705000</f>
        <v>7410000</v>
      </c>
      <c r="G99" s="15">
        <v>2</v>
      </c>
      <c r="H99" s="15">
        <f>G99*4845000</f>
        <v>9690000</v>
      </c>
      <c r="I99" s="15"/>
      <c r="J99" s="15">
        <f>I99*5985000</f>
        <v>0</v>
      </c>
      <c r="K99" s="15">
        <f t="shared" si="21"/>
        <v>4</v>
      </c>
      <c r="L99" s="15">
        <f t="shared" si="21"/>
        <v>17100000</v>
      </c>
    </row>
    <row r="100" spans="2:12" ht="13.5" x14ac:dyDescent="0.2">
      <c r="B100" s="2" t="s">
        <v>50</v>
      </c>
      <c r="C100" s="15">
        <v>4</v>
      </c>
      <c r="D100" s="15">
        <f>C100*1890000</f>
        <v>7560000</v>
      </c>
      <c r="E100" s="15">
        <v>1</v>
      </c>
      <c r="F100" s="15">
        <f>E100*2730000</f>
        <v>2730000</v>
      </c>
      <c r="G100" s="15">
        <v>3</v>
      </c>
      <c r="H100" s="15">
        <f>G100*3570000</f>
        <v>10710000</v>
      </c>
      <c r="I100" s="15"/>
      <c r="J100" s="15">
        <f>I100*4410000</f>
        <v>0</v>
      </c>
      <c r="K100" s="15">
        <f t="shared" si="21"/>
        <v>8</v>
      </c>
      <c r="L100" s="15">
        <f t="shared" si="21"/>
        <v>21000000</v>
      </c>
    </row>
    <row r="101" spans="2:12" ht="13.5" x14ac:dyDescent="0.2">
      <c r="B101" s="10" t="s">
        <v>13</v>
      </c>
      <c r="C101" s="16">
        <f t="shared" ref="C101:J101" si="22">SUM(C96,C97,C98,C99,C100)</f>
        <v>5</v>
      </c>
      <c r="D101" s="16">
        <f t="shared" si="22"/>
        <v>12587000</v>
      </c>
      <c r="E101" s="16">
        <f t="shared" si="22"/>
        <v>7</v>
      </c>
      <c r="F101" s="16">
        <f t="shared" si="22"/>
        <v>39709000</v>
      </c>
      <c r="G101" s="16">
        <f t="shared" si="22"/>
        <v>10</v>
      </c>
      <c r="H101" s="16">
        <f t="shared" si="22"/>
        <v>65111000</v>
      </c>
      <c r="I101" s="16">
        <f t="shared" si="22"/>
        <v>1</v>
      </c>
      <c r="J101" s="16">
        <f t="shared" si="22"/>
        <v>7749000</v>
      </c>
      <c r="K101" s="16">
        <f>SUM(C101,E101,G101,I101)</f>
        <v>23</v>
      </c>
      <c r="L101" s="16">
        <f>SUM(L96,L97,L98,L99,L100)</f>
        <v>125156000</v>
      </c>
    </row>
    <row r="102" spans="2:12" ht="27" x14ac:dyDescent="0.2">
      <c r="B102" s="2" t="s">
        <v>14</v>
      </c>
      <c r="C102" s="15">
        <v>5</v>
      </c>
      <c r="D102" s="15">
        <f>C102*3230000</f>
        <v>16150000</v>
      </c>
      <c r="E102" s="15">
        <v>6</v>
      </c>
      <c r="F102" s="15">
        <f>E102*4666000</f>
        <v>27996000</v>
      </c>
      <c r="G102" s="15">
        <v>15</v>
      </c>
      <c r="H102" s="15">
        <f>G102*6102000</f>
        <v>91530000</v>
      </c>
      <c r="I102" s="15"/>
      <c r="J102" s="15">
        <f>I102*7539000</f>
        <v>0</v>
      </c>
      <c r="K102" s="15">
        <f>SUM(C102,E102,G102,I102)</f>
        <v>26</v>
      </c>
      <c r="L102" s="15">
        <f>SUM(D102,F102,H102,J102)</f>
        <v>135676000</v>
      </c>
    </row>
    <row r="103" spans="2:12" ht="15.75" customHeight="1" x14ac:dyDescent="0.2">
      <c r="B103" s="10" t="s">
        <v>13</v>
      </c>
      <c r="C103" s="16">
        <f t="shared" ref="C103:J103" si="23">SUM(C101,C102)</f>
        <v>10</v>
      </c>
      <c r="D103" s="16">
        <f t="shared" si="23"/>
        <v>28737000</v>
      </c>
      <c r="E103" s="16">
        <f t="shared" si="23"/>
        <v>13</v>
      </c>
      <c r="F103" s="16">
        <f t="shared" si="23"/>
        <v>67705000</v>
      </c>
      <c r="G103" s="16">
        <f t="shared" si="23"/>
        <v>25</v>
      </c>
      <c r="H103" s="16">
        <f t="shared" si="23"/>
        <v>156641000</v>
      </c>
      <c r="I103" s="16">
        <f t="shared" si="23"/>
        <v>1</v>
      </c>
      <c r="J103" s="16">
        <f t="shared" si="23"/>
        <v>7749000</v>
      </c>
      <c r="K103" s="16">
        <f>SUM(C103,E103,G103,I103)</f>
        <v>49</v>
      </c>
      <c r="L103" s="16">
        <f>SUM(D103,F103,H103,J103)</f>
        <v>260832000</v>
      </c>
    </row>
    <row r="104" spans="2:12" x14ac:dyDescent="0.2">
      <c r="L104" s="14"/>
    </row>
    <row r="105" spans="2:12" ht="13.5" x14ac:dyDescent="0.2">
      <c r="B105" s="19" t="s">
        <v>60</v>
      </c>
      <c r="C105" s="19"/>
      <c r="D105" s="19"/>
      <c r="E105" s="19"/>
      <c r="F105" s="19"/>
      <c r="G105" s="19"/>
      <c r="H105" s="19"/>
      <c r="I105" s="19"/>
      <c r="J105" s="19"/>
      <c r="K105" s="19"/>
      <c r="L105" s="19"/>
    </row>
    <row r="107" spans="2:12" s="5" customFormat="1" ht="30" customHeight="1" x14ac:dyDescent="0.2">
      <c r="B107" s="10" t="s">
        <v>1</v>
      </c>
      <c r="C107" s="10" t="s">
        <v>2</v>
      </c>
      <c r="D107" s="10" t="s">
        <v>6</v>
      </c>
      <c r="E107" s="10" t="s">
        <v>3</v>
      </c>
      <c r="F107" s="10" t="s">
        <v>6</v>
      </c>
      <c r="G107" s="10" t="s">
        <v>4</v>
      </c>
      <c r="H107" s="10" t="s">
        <v>6</v>
      </c>
      <c r="I107" s="10" t="s">
        <v>5</v>
      </c>
      <c r="J107" s="10" t="s">
        <v>6</v>
      </c>
      <c r="K107" s="10" t="s">
        <v>7</v>
      </c>
      <c r="L107" s="10" t="s">
        <v>6</v>
      </c>
    </row>
    <row r="108" spans="2:12" ht="13.5" x14ac:dyDescent="0.2">
      <c r="B108" s="2" t="s">
        <v>51</v>
      </c>
      <c r="C108" s="15">
        <v>8</v>
      </c>
      <c r="D108" s="15">
        <f>C108*5510000</f>
        <v>44080000</v>
      </c>
      <c r="E108" s="15">
        <v>20</v>
      </c>
      <c r="F108" s="15">
        <f>E108*7959000</f>
        <v>159180000</v>
      </c>
      <c r="G108" s="15">
        <v>9</v>
      </c>
      <c r="H108" s="15">
        <f>G108*10408000</f>
        <v>93672000</v>
      </c>
      <c r="I108" s="15"/>
      <c r="J108" s="15">
        <f>I108*12857000</f>
        <v>0</v>
      </c>
      <c r="K108" s="15">
        <f t="shared" ref="K108:L115" si="24">SUM(C108,E108,G108,I108)</f>
        <v>37</v>
      </c>
      <c r="L108" s="15">
        <f t="shared" si="24"/>
        <v>296932000</v>
      </c>
    </row>
    <row r="109" spans="2:12" ht="13.5" x14ac:dyDescent="0.2">
      <c r="B109" s="2" t="s">
        <v>52</v>
      </c>
      <c r="C109" s="15">
        <v>3</v>
      </c>
      <c r="D109" s="15">
        <f>C109*3227000</f>
        <v>9681000</v>
      </c>
      <c r="E109" s="15">
        <v>4</v>
      </c>
      <c r="F109" s="15">
        <f>E109*4661000</f>
        <v>18644000</v>
      </c>
      <c r="G109" s="15">
        <v>6</v>
      </c>
      <c r="H109" s="15">
        <f>G109*6095000</f>
        <v>36570000</v>
      </c>
      <c r="I109" s="15">
        <v>0</v>
      </c>
      <c r="J109" s="15">
        <f>I109*7529000</f>
        <v>0</v>
      </c>
      <c r="K109" s="15">
        <f t="shared" si="24"/>
        <v>13</v>
      </c>
      <c r="L109" s="15">
        <f t="shared" si="24"/>
        <v>64895000</v>
      </c>
    </row>
    <row r="110" spans="2:12" ht="13.5" x14ac:dyDescent="0.2">
      <c r="B110" s="2" t="s">
        <v>53</v>
      </c>
      <c r="C110" s="15">
        <v>2</v>
      </c>
      <c r="D110" s="15">
        <f>C110*5603000</f>
        <v>11206000</v>
      </c>
      <c r="E110" s="15">
        <v>2</v>
      </c>
      <c r="F110" s="15">
        <f>E110*8093000</f>
        <v>16186000</v>
      </c>
      <c r="G110" s="15">
        <v>2</v>
      </c>
      <c r="H110" s="15">
        <f>G110*10583000</f>
        <v>21166000</v>
      </c>
      <c r="I110" s="15"/>
      <c r="J110" s="15">
        <f>I110*13073000</f>
        <v>0</v>
      </c>
      <c r="K110" s="15">
        <f t="shared" si="24"/>
        <v>6</v>
      </c>
      <c r="L110" s="15">
        <f t="shared" si="24"/>
        <v>48558000</v>
      </c>
    </row>
    <row r="111" spans="2:12" ht="13.5" x14ac:dyDescent="0.2">
      <c r="B111" s="2" t="s">
        <v>55</v>
      </c>
      <c r="C111" s="15"/>
      <c r="D111" s="15">
        <f>C111*2583000</f>
        <v>0</v>
      </c>
      <c r="E111" s="15">
        <v>2</v>
      </c>
      <c r="F111" s="15">
        <f>E111*3731000</f>
        <v>7462000</v>
      </c>
      <c r="G111" s="15">
        <v>4</v>
      </c>
      <c r="H111" s="15">
        <f>G111*4879000</f>
        <v>19516000</v>
      </c>
      <c r="I111" s="15">
        <v>0</v>
      </c>
      <c r="J111" s="15">
        <f>I111*6027000</f>
        <v>0</v>
      </c>
      <c r="K111" s="15">
        <f t="shared" si="24"/>
        <v>6</v>
      </c>
      <c r="L111" s="15">
        <f t="shared" si="24"/>
        <v>26978000</v>
      </c>
    </row>
    <row r="112" spans="2:12" ht="13.5" x14ac:dyDescent="0.2">
      <c r="B112" s="2" t="s">
        <v>56</v>
      </c>
      <c r="C112" s="15"/>
      <c r="D112" s="15">
        <f>C112*2754000</f>
        <v>0</v>
      </c>
      <c r="E112" s="15"/>
      <c r="F112" s="15">
        <f>E112*3978000</f>
        <v>0</v>
      </c>
      <c r="G112" s="15">
        <v>1</v>
      </c>
      <c r="H112" s="15">
        <f>G112*5202000</f>
        <v>5202000</v>
      </c>
      <c r="I112" s="15"/>
      <c r="J112" s="15">
        <f>I112*6426000</f>
        <v>0</v>
      </c>
      <c r="K112" s="15">
        <f t="shared" si="24"/>
        <v>1</v>
      </c>
      <c r="L112" s="15">
        <f t="shared" si="24"/>
        <v>5202000</v>
      </c>
    </row>
    <row r="113" spans="2:12" ht="13.5" x14ac:dyDescent="0.2">
      <c r="B113" s="2" t="s">
        <v>57</v>
      </c>
      <c r="C113" s="15"/>
      <c r="D113" s="15">
        <f>C113*1116000</f>
        <v>0</v>
      </c>
      <c r="E113" s="15"/>
      <c r="F113" s="15">
        <f>E113*1612000</f>
        <v>0</v>
      </c>
      <c r="G113" s="15"/>
      <c r="H113" s="15">
        <f>G113*2108000</f>
        <v>0</v>
      </c>
      <c r="I113" s="15"/>
      <c r="J113" s="15">
        <f>I113*2604000</f>
        <v>0</v>
      </c>
      <c r="K113" s="15">
        <f t="shared" si="24"/>
        <v>0</v>
      </c>
      <c r="L113" s="15">
        <f t="shared" si="24"/>
        <v>0</v>
      </c>
    </row>
    <row r="114" spans="2:12" ht="13.5" x14ac:dyDescent="0.2">
      <c r="B114" s="2" t="s">
        <v>58</v>
      </c>
      <c r="C114" s="15"/>
      <c r="D114" s="15">
        <f>C114*1296000</f>
        <v>0</v>
      </c>
      <c r="E114" s="15"/>
      <c r="F114" s="15">
        <f>E114*1872000</f>
        <v>0</v>
      </c>
      <c r="G114" s="15"/>
      <c r="H114" s="15">
        <f>G114*2448000</f>
        <v>0</v>
      </c>
      <c r="I114" s="15"/>
      <c r="J114" s="15">
        <f>I114*3024000</f>
        <v>0</v>
      </c>
      <c r="K114" s="15">
        <f t="shared" si="24"/>
        <v>0</v>
      </c>
      <c r="L114" s="15">
        <f t="shared" si="24"/>
        <v>0</v>
      </c>
    </row>
    <row r="115" spans="2:12" ht="13.5" x14ac:dyDescent="0.2">
      <c r="B115" s="2" t="s">
        <v>54</v>
      </c>
      <c r="C115" s="15"/>
      <c r="D115" s="15">
        <f>C115*2003000</f>
        <v>0</v>
      </c>
      <c r="E115" s="15"/>
      <c r="F115" s="15">
        <f>E115*2893000</f>
        <v>0</v>
      </c>
      <c r="G115" s="15">
        <v>0</v>
      </c>
      <c r="H115" s="15">
        <f>G115*3783000</f>
        <v>0</v>
      </c>
      <c r="I115" s="15">
        <v>0</v>
      </c>
      <c r="J115" s="15">
        <f>I115*4673000</f>
        <v>0</v>
      </c>
      <c r="K115" s="15">
        <f t="shared" si="24"/>
        <v>0</v>
      </c>
      <c r="L115" s="15">
        <f t="shared" si="24"/>
        <v>0</v>
      </c>
    </row>
    <row r="116" spans="2:12" ht="13.5" x14ac:dyDescent="0.2">
      <c r="B116" s="10" t="s">
        <v>13</v>
      </c>
      <c r="C116" s="16">
        <f t="shared" ref="C116:L116" si="25">C108+C109+C110+C111+C112+C113+C114+C115</f>
        <v>13</v>
      </c>
      <c r="D116" s="16">
        <f t="shared" si="25"/>
        <v>64967000</v>
      </c>
      <c r="E116" s="16">
        <f t="shared" si="25"/>
        <v>28</v>
      </c>
      <c r="F116" s="16">
        <f t="shared" si="25"/>
        <v>201472000</v>
      </c>
      <c r="G116" s="16">
        <f t="shared" si="25"/>
        <v>22</v>
      </c>
      <c r="H116" s="16">
        <f t="shared" si="25"/>
        <v>176126000</v>
      </c>
      <c r="I116" s="16">
        <f t="shared" si="25"/>
        <v>0</v>
      </c>
      <c r="J116" s="16">
        <f t="shared" si="25"/>
        <v>0</v>
      </c>
      <c r="K116" s="16">
        <f t="shared" si="25"/>
        <v>63</v>
      </c>
      <c r="L116" s="16">
        <f t="shared" si="25"/>
        <v>442565000</v>
      </c>
    </row>
    <row r="117" spans="2:12" ht="27" x14ac:dyDescent="0.2">
      <c r="B117" s="2" t="s">
        <v>14</v>
      </c>
      <c r="C117" s="15">
        <v>3</v>
      </c>
      <c r="D117" s="15">
        <f>C117*3541000</f>
        <v>10623000</v>
      </c>
      <c r="E117" s="15">
        <v>7</v>
      </c>
      <c r="F117" s="15">
        <f>E117*5115000</f>
        <v>35805000</v>
      </c>
      <c r="G117" s="15">
        <v>11</v>
      </c>
      <c r="H117" s="15">
        <f>G117*6689000</f>
        <v>73579000</v>
      </c>
      <c r="I117" s="15"/>
      <c r="J117" s="15">
        <f>I117*8263000</f>
        <v>0</v>
      </c>
      <c r="K117" s="15">
        <f>SUM(C117,E117,G117,I117)</f>
        <v>21</v>
      </c>
      <c r="L117" s="15">
        <f>SUM(D117,F117,H117,J117)</f>
        <v>120007000</v>
      </c>
    </row>
    <row r="118" spans="2:12" ht="13.5" x14ac:dyDescent="0.2">
      <c r="B118" s="10" t="s">
        <v>13</v>
      </c>
      <c r="C118" s="16">
        <f t="shared" ref="C118:J118" si="26">SUM(C116,C117)</f>
        <v>16</v>
      </c>
      <c r="D118" s="16">
        <f t="shared" si="26"/>
        <v>75590000</v>
      </c>
      <c r="E118" s="16">
        <f t="shared" si="26"/>
        <v>35</v>
      </c>
      <c r="F118" s="16">
        <f t="shared" si="26"/>
        <v>237277000</v>
      </c>
      <c r="G118" s="16">
        <f t="shared" si="26"/>
        <v>33</v>
      </c>
      <c r="H118" s="16">
        <f t="shared" si="26"/>
        <v>249705000</v>
      </c>
      <c r="I118" s="16">
        <f t="shared" si="26"/>
        <v>0</v>
      </c>
      <c r="J118" s="16">
        <f t="shared" si="26"/>
        <v>0</v>
      </c>
      <c r="K118" s="16">
        <f>SUM(C118,E118,G118,I118)</f>
        <v>84</v>
      </c>
      <c r="L118" s="16">
        <f>SUM(D118,F118,H118,J118)</f>
        <v>562572000</v>
      </c>
    </row>
    <row r="121" spans="2:12" ht="17.25" x14ac:dyDescent="0.2">
      <c r="D121" s="20" t="s">
        <v>15</v>
      </c>
      <c r="E121" s="20"/>
      <c r="F121" s="20"/>
      <c r="G121" s="20"/>
      <c r="H121" s="20"/>
      <c r="I121" s="20"/>
      <c r="J121" s="20"/>
      <c r="K121" s="20"/>
    </row>
    <row r="122" spans="2:12" ht="13.5" x14ac:dyDescent="0.2">
      <c r="B122" s="19" t="s">
        <v>59</v>
      </c>
      <c r="C122" s="19"/>
      <c r="D122" s="19"/>
      <c r="E122" s="19"/>
      <c r="F122" s="19"/>
      <c r="G122" s="19"/>
      <c r="H122" s="19"/>
      <c r="I122" s="19"/>
      <c r="J122" s="19"/>
      <c r="K122" s="19"/>
      <c r="L122" s="19"/>
    </row>
    <row r="124" spans="2:12" ht="30" customHeight="1" x14ac:dyDescent="0.2">
      <c r="B124" s="10" t="s">
        <v>1</v>
      </c>
      <c r="C124" s="10" t="s">
        <v>2</v>
      </c>
      <c r="D124" s="10" t="s">
        <v>6</v>
      </c>
      <c r="E124" s="10" t="s">
        <v>3</v>
      </c>
      <c r="F124" s="10" t="s">
        <v>6</v>
      </c>
      <c r="G124" s="10" t="s">
        <v>4</v>
      </c>
      <c r="H124" s="10" t="s">
        <v>6</v>
      </c>
      <c r="I124" s="10" t="s">
        <v>5</v>
      </c>
      <c r="J124" s="10" t="s">
        <v>6</v>
      </c>
      <c r="K124" s="10" t="s">
        <v>7</v>
      </c>
      <c r="L124" s="10" t="s">
        <v>6</v>
      </c>
    </row>
    <row r="125" spans="2:12" ht="19.5" customHeight="1" x14ac:dyDescent="0.2">
      <c r="B125" s="2" t="s">
        <v>19</v>
      </c>
      <c r="C125" s="2">
        <v>108</v>
      </c>
      <c r="D125" s="15">
        <f>C125*18620000</f>
        <v>2010960000</v>
      </c>
      <c r="E125" s="2">
        <v>155</v>
      </c>
      <c r="F125" s="15">
        <f>E125*26388000</f>
        <v>4090140000</v>
      </c>
      <c r="G125" s="2">
        <v>135</v>
      </c>
      <c r="H125" s="15">
        <f>G125*33155000</f>
        <v>4475925000</v>
      </c>
      <c r="I125" s="2">
        <v>2</v>
      </c>
      <c r="J125" s="15">
        <f>I125*40136000</f>
        <v>80272000</v>
      </c>
      <c r="K125" s="2">
        <f>SUM(C125,E125,G125,I125)</f>
        <v>400</v>
      </c>
      <c r="L125" s="15">
        <f>SUM(D125,F125,H125,J125)</f>
        <v>10657297000</v>
      </c>
    </row>
    <row r="126" spans="2:12" ht="18.75" customHeight="1" x14ac:dyDescent="0.2">
      <c r="B126" s="2" t="s">
        <v>20</v>
      </c>
      <c r="C126" s="2">
        <f>SUM(C14,C24,C34,C48,C58,C70,C81,C91,C103,C118)</f>
        <v>137</v>
      </c>
      <c r="D126" s="15">
        <f>D14+D24+D34+D48+D58+D70+D81+D91+D103+D118</f>
        <v>749494000</v>
      </c>
      <c r="E126" s="2">
        <f>SUM(E14,E24,E34,E48,E58,E70,E81,E91,E103,E118)</f>
        <v>222</v>
      </c>
      <c r="F126" s="15">
        <f>F14+F24+F34+F48+F58+F70+F81+F91+F103+F118</f>
        <v>1831529000</v>
      </c>
      <c r="G126" s="2">
        <f>SUM(G14,G24,G34,G48,G58,G70,G81,G91,G103,G118)</f>
        <v>343</v>
      </c>
      <c r="H126" s="15">
        <f>H14+H24+H34+H48+H58+H70+H81+H91+H103+H118</f>
        <v>3590990000</v>
      </c>
      <c r="I126" s="2">
        <f>SUM(I14,I24,I34,I48,I58,I70,I81,I91,I103,I118)</f>
        <v>5</v>
      </c>
      <c r="J126" s="15">
        <f>J14+J24+J34+J48+J58+J70+J81+J91+J103+J118</f>
        <v>58324000</v>
      </c>
      <c r="K126" s="2">
        <f>SUM(K14,K24,K34,K48,K58,K70,K81,K91,K103,K118)</f>
        <v>707</v>
      </c>
      <c r="L126" s="15">
        <f>L14+L24+L34+L48+L58+L70+L81+L91+L103+L118</f>
        <v>6230337000</v>
      </c>
    </row>
    <row r="127" spans="2:12" ht="19.5" customHeight="1" x14ac:dyDescent="0.2">
      <c r="B127" s="11" t="s">
        <v>13</v>
      </c>
      <c r="C127" s="11">
        <f>SUM(C125,C126)</f>
        <v>245</v>
      </c>
      <c r="D127" s="17">
        <f t="shared" ref="D127:J127" si="27">SUM(D125,D126)</f>
        <v>2760454000</v>
      </c>
      <c r="E127" s="11">
        <f t="shared" si="27"/>
        <v>377</v>
      </c>
      <c r="F127" s="17">
        <f t="shared" si="27"/>
        <v>5921669000</v>
      </c>
      <c r="G127" s="11">
        <f t="shared" si="27"/>
        <v>478</v>
      </c>
      <c r="H127" s="17">
        <f t="shared" si="27"/>
        <v>8066915000</v>
      </c>
      <c r="I127" s="11">
        <f t="shared" si="27"/>
        <v>7</v>
      </c>
      <c r="J127" s="17">
        <f t="shared" si="27"/>
        <v>138596000</v>
      </c>
      <c r="K127" s="11">
        <f>SUM(C127,E127,G127,I127)</f>
        <v>1107</v>
      </c>
      <c r="L127" s="17">
        <f>L125+L126</f>
        <v>16887634000</v>
      </c>
    </row>
    <row r="130" spans="8:12" x14ac:dyDescent="0.2">
      <c r="J130" s="7"/>
      <c r="L130" s="12"/>
    </row>
    <row r="131" spans="8:12" x14ac:dyDescent="0.2">
      <c r="H131" s="1" t="s">
        <v>70</v>
      </c>
      <c r="J131" s="8"/>
    </row>
    <row r="132" spans="8:12" x14ac:dyDescent="0.2">
      <c r="J132" s="8"/>
    </row>
    <row r="133" spans="8:12" x14ac:dyDescent="0.2">
      <c r="J133" s="9"/>
    </row>
    <row r="134" spans="8:12" x14ac:dyDescent="0.2">
      <c r="J134" s="9"/>
    </row>
    <row r="135" spans="8:12" x14ac:dyDescent="0.2">
      <c r="K135" s="6"/>
    </row>
    <row r="142" spans="8:12" ht="13.5" x14ac:dyDescent="0.2">
      <c r="H142" s="13"/>
    </row>
    <row r="149" spans="7:7" x14ac:dyDescent="0.2">
      <c r="G149" s="3"/>
    </row>
  </sheetData>
  <mergeCells count="14">
    <mergeCell ref="B2:L2"/>
    <mergeCell ref="B4:L4"/>
    <mergeCell ref="B16:L16"/>
    <mergeCell ref="B36:L36"/>
    <mergeCell ref="B3:L3"/>
    <mergeCell ref="B50:L50"/>
    <mergeCell ref="B26:L26"/>
    <mergeCell ref="B122:L122"/>
    <mergeCell ref="B72:L72"/>
    <mergeCell ref="B83:L83"/>
    <mergeCell ref="B93:L93"/>
    <mergeCell ref="B105:L105"/>
    <mergeCell ref="B60:L60"/>
    <mergeCell ref="D121:K121"/>
  </mergeCells>
  <phoneticPr fontId="2" type="noConversion"/>
  <printOptions horizontalCentered="1"/>
  <pageMargins left="0.25" right="0.25" top="0.5" bottom="0.25" header="0.25" footer="0.25"/>
  <pageSetup paperSize="9" orientation="landscape" r:id="rId1"/>
  <headerFooter alignWithMargins="0"/>
  <ignoredErrors>
    <ignoredError sqref="K12:L12 D22 D56:L56 K79:L79 D89:L89 D116 K126 E126:J126 D126 D32:F32 F22 L22 E22 G22:K22 K101:L101 K116:L116 K46:L46 J68:K68 G32:L32 F68 H6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Հ 13 ZOHVAC</vt:lpstr>
      <vt:lpstr>'Հ 13 ZOHVAC'!Print_Area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https://mul-mil.gov.am/tasks/115140/oneclick/2024-2026 BNAKARAN ZINCAR  havelvac 13.xlsx?token=557e23e878e75995d13c84ebc9d7b8de</cp:keywords>
  <cp:lastModifiedBy>USER</cp:lastModifiedBy>
  <cp:lastPrinted>2023-02-20T12:01:52Z</cp:lastPrinted>
  <dcterms:created xsi:type="dcterms:W3CDTF">1996-10-14T23:33:28Z</dcterms:created>
  <dcterms:modified xsi:type="dcterms:W3CDTF">2023-02-20T12:02:49Z</dcterms:modified>
</cp:coreProperties>
</file>