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U:\Կենսաթոշակային ապահովության և այլ դրամական վճարների վարչություն\Կենսաթոշակային ապահովության և այլ դրամական վճարների բաժին\Միքաելյան Տաթևիկ\2024-2026\06.03.2023\"/>
    </mc:Choice>
  </mc:AlternateContent>
  <bookViews>
    <workbookView xWindow="0" yWindow="0" windowWidth="28800" windowHeight="11730" tabRatio="636" firstSheet="13" activeTab="15"/>
  </bookViews>
  <sheets>
    <sheet name="kk (2)" sheetId="11" state="hidden" r:id="rId1"/>
    <sheet name="all (2)" sheetId="8" state="hidden" r:id="rId2"/>
    <sheet name="all" sheetId="1" state="hidden" r:id="rId3"/>
    <sheet name="npast" sheetId="3" state="hidden" r:id="rId4"/>
    <sheet name="kk" sheetId="4" state="hidden" r:id="rId5"/>
    <sheet name="ամփոփ բոլորը" sheetId="21" state="hidden" r:id="rId6"/>
    <sheet name="ամփոփ" sheetId="22" r:id="rId7"/>
    <sheet name="ընդհանուր" sheetId="6" r:id="rId8"/>
    <sheet name="սպայական" sheetId="18" r:id="rId9"/>
    <sheet name="տարիքային" sheetId="5" r:id="rId10"/>
    <sheet name="1-ին խումբ" sheetId="7" r:id="rId11"/>
    <sheet name="2-րդ խումբ" sheetId="9" r:id="rId12"/>
    <sheet name="3-րդ խումբ" sheetId="10" r:id="rId13"/>
    <sheet name="կերկոր 1" sheetId="12" r:id="rId14"/>
    <sheet name="կերկոր 2" sheetId="13" r:id="rId15"/>
    <sheet name="նպաստ" sheetId="14" r:id="rId16"/>
    <sheet name="շարքային" sheetId="19" r:id="rId17"/>
    <sheet name="սոցերաշխիք" sheetId="17" r:id="rId18"/>
  </sheets>
  <definedNames>
    <definedName name="_xlnm.Print_Area" localSheetId="9">տարիքային!$E$7:$O$175</definedName>
    <definedName name="_xlnm.Print_Titles" localSheetId="10">'1-ին խումբ'!$29:$30</definedName>
    <definedName name="_xlnm.Print_Titles" localSheetId="11">'2-րդ խումբ'!$29:$30</definedName>
    <definedName name="_xlnm.Print_Titles" localSheetId="12">'3-րդ խումբ'!$29:$30</definedName>
    <definedName name="_xlnm.Print_Titles" localSheetId="2">all!$6:$7</definedName>
    <definedName name="_xlnm.Print_Titles" localSheetId="1">'all (2)'!$6:$7</definedName>
    <definedName name="_xlnm.Print_Titles" localSheetId="4">kk!$6:$7</definedName>
    <definedName name="_xlnm.Print_Titles" localSheetId="0">'kk (2)'!$6:$7</definedName>
    <definedName name="_xlnm.Print_Titles" localSheetId="13">'կերկոր 1'!$28:$29</definedName>
    <definedName name="_xlnm.Print_Titles" localSheetId="14">'կերկոր 2'!$29:$30</definedName>
    <definedName name="_xlnm.Print_Titles" localSheetId="9">տարիքային!$25:$26</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P14" i="19" l="1"/>
  <c r="AI44" i="18"/>
  <c r="AT3" i="18" l="1"/>
  <c r="O26" i="17" l="1"/>
  <c r="D30" i="6" l="1"/>
  <c r="AV19" i="18"/>
  <c r="AV20" i="18"/>
  <c r="AV21" i="18"/>
  <c r="AI28" i="18"/>
  <c r="AI29" i="18"/>
  <c r="AI27" i="18"/>
  <c r="AI26" i="18" s="1"/>
  <c r="H24" i="5" l="1"/>
  <c r="C104" i="13"/>
  <c r="E35" i="6" s="1"/>
  <c r="F35" i="6" s="1"/>
  <c r="G35" i="6" s="1"/>
  <c r="H35" i="6" s="1"/>
  <c r="I35" i="6" s="1"/>
  <c r="J35" i="6" s="1"/>
  <c r="K35" i="6" s="1"/>
  <c r="B35" i="13" l="1"/>
  <c r="B34" i="13"/>
  <c r="B33" i="13"/>
  <c r="B32" i="13"/>
  <c r="B31" i="13"/>
  <c r="C102" i="7"/>
  <c r="R11" i="19"/>
  <c r="R12" i="19"/>
  <c r="W12" i="19" s="1"/>
  <c r="AB12" i="19" s="1"/>
  <c r="R13" i="19"/>
  <c r="W13" i="19" s="1"/>
  <c r="AB13" i="19" s="1"/>
  <c r="W11" i="19"/>
  <c r="AB11" i="19" s="1"/>
  <c r="L10" i="19"/>
  <c r="AX16" i="18"/>
  <c r="BG16" i="18" s="1"/>
  <c r="G49" i="6"/>
  <c r="G50" i="6"/>
  <c r="G51" i="6"/>
  <c r="G48" i="6"/>
  <c r="AS37" i="18"/>
  <c r="AS32" i="18"/>
  <c r="AP20" i="18"/>
  <c r="AS20" i="18" s="1"/>
  <c r="AP19" i="18"/>
  <c r="AN32" i="18"/>
  <c r="AX32" i="18" s="1"/>
  <c r="BG32" i="18" s="1"/>
  <c r="AN33" i="18"/>
  <c r="AX33" i="18" s="1"/>
  <c r="BG33" i="18" s="1"/>
  <c r="AN31" i="18"/>
  <c r="AX31" i="18" s="1"/>
  <c r="BG31" i="18" s="1"/>
  <c r="AN20" i="18"/>
  <c r="AX20" i="18" s="1"/>
  <c r="BG20" i="18" s="1"/>
  <c r="AN21" i="18"/>
  <c r="AX21" i="18" s="1"/>
  <c r="BG21" i="18" s="1"/>
  <c r="AN19" i="18"/>
  <c r="AX19" i="18" s="1"/>
  <c r="BG19" i="18" s="1"/>
  <c r="AL17" i="18"/>
  <c r="AV17" i="18" s="1"/>
  <c r="BE17" i="18" s="1"/>
  <c r="AN17" i="18"/>
  <c r="AX17" i="18" s="1"/>
  <c r="BG17" i="18" s="1"/>
  <c r="AN16" i="18"/>
  <c r="AL16" i="18"/>
  <c r="AV16" i="18" s="1"/>
  <c r="BE16" i="18" s="1"/>
  <c r="AF41" i="18"/>
  <c r="AI41" i="18" s="1"/>
  <c r="AF40" i="18"/>
  <c r="AI40" i="18" s="1"/>
  <c r="AF39" i="18"/>
  <c r="AI39" i="18" s="1"/>
  <c r="AF36" i="18"/>
  <c r="AI36" i="18" s="1"/>
  <c r="AF37" i="18"/>
  <c r="AI37" i="18" s="1"/>
  <c r="AF35" i="18"/>
  <c r="AI35" i="18" s="1"/>
  <c r="AF32" i="18"/>
  <c r="AI32" i="18" s="1"/>
  <c r="AF33" i="18"/>
  <c r="AI33" i="18" s="1"/>
  <c r="AF31" i="18"/>
  <c r="AF28" i="18"/>
  <c r="AP28" i="18" s="1"/>
  <c r="AS28" i="18" s="1"/>
  <c r="AF29" i="18"/>
  <c r="AF27" i="18"/>
  <c r="AF24" i="18"/>
  <c r="AI24" i="18" s="1"/>
  <c r="AF25" i="18"/>
  <c r="AI25" i="18" s="1"/>
  <c r="AF23" i="18"/>
  <c r="AI23" i="18" s="1"/>
  <c r="AF19" i="18"/>
  <c r="AI19" i="18" s="1"/>
  <c r="AF20" i="18"/>
  <c r="AI20" i="18" s="1"/>
  <c r="AF21" i="18"/>
  <c r="AI21" i="18" s="1"/>
  <c r="AF17" i="18"/>
  <c r="AI17" i="18" s="1"/>
  <c r="AF16" i="18"/>
  <c r="AI16" i="18" s="1"/>
  <c r="AA44" i="18"/>
  <c r="AC38" i="18"/>
  <c r="AC30" i="18" s="1"/>
  <c r="AC34" i="18"/>
  <c r="AC26" i="18"/>
  <c r="AC22" i="18"/>
  <c r="X31" i="18"/>
  <c r="X29" i="18"/>
  <c r="Y29" i="18"/>
  <c r="X23" i="18"/>
  <c r="X21" i="18"/>
  <c r="X20" i="18"/>
  <c r="X19" i="18"/>
  <c r="X16" i="18"/>
  <c r="X3" i="18"/>
  <c r="X4" i="18"/>
  <c r="Y23" i="18" s="1"/>
  <c r="X5" i="18"/>
  <c r="Y24" i="18" s="1"/>
  <c r="X6" i="18"/>
  <c r="Y25" i="18" s="1"/>
  <c r="X7" i="18"/>
  <c r="Y35" i="18" s="1"/>
  <c r="AJ2" i="18"/>
  <c r="AP2" i="18"/>
  <c r="AM31" i="18" s="1"/>
  <c r="P3" i="18"/>
  <c r="N27" i="18" s="1"/>
  <c r="AF3" i="18"/>
  <c r="AE16" i="18" s="1"/>
  <c r="AJ3" i="18"/>
  <c r="P4" i="18"/>
  <c r="AF4" i="18"/>
  <c r="AG23" i="18" s="1"/>
  <c r="AJ4" i="18"/>
  <c r="AJ23" i="18" s="1"/>
  <c r="P5" i="18"/>
  <c r="AF5" i="18"/>
  <c r="AG24" i="18" s="1"/>
  <c r="AH24" i="18" s="1"/>
  <c r="AJ5" i="18"/>
  <c r="AJ24" i="18" s="1"/>
  <c r="P6" i="18"/>
  <c r="AF6" i="18"/>
  <c r="AG25" i="18" s="1"/>
  <c r="AJ6" i="18"/>
  <c r="AJ25" i="18" s="1"/>
  <c r="AJ29" i="18" s="1"/>
  <c r="P7" i="18"/>
  <c r="P9" i="18" s="1"/>
  <c r="P37" i="18" s="1"/>
  <c r="Q37" i="18" s="1"/>
  <c r="AF7" i="18"/>
  <c r="AG35" i="18" s="1"/>
  <c r="AH11" i="18"/>
  <c r="J16" i="18"/>
  <c r="I16" i="18" s="1"/>
  <c r="J17" i="18"/>
  <c r="V17" i="18"/>
  <c r="X17" i="18" s="1"/>
  <c r="J19" i="18"/>
  <c r="I19" i="18" s="1"/>
  <c r="J20" i="18"/>
  <c r="I20" i="18" s="1"/>
  <c r="J21" i="18"/>
  <c r="I21" i="18" s="1"/>
  <c r="H22" i="18"/>
  <c r="O22" i="18"/>
  <c r="V22" i="18"/>
  <c r="J23" i="18"/>
  <c r="Q23" i="18"/>
  <c r="J24" i="18"/>
  <c r="Q24" i="18"/>
  <c r="X24" i="18"/>
  <c r="J25" i="18"/>
  <c r="Q25" i="18"/>
  <c r="X25" i="18"/>
  <c r="H26" i="18"/>
  <c r="O26" i="18"/>
  <c r="V26" i="18"/>
  <c r="J27" i="18"/>
  <c r="X27" i="18"/>
  <c r="AP27" i="18"/>
  <c r="AS27" i="18" s="1"/>
  <c r="J28" i="18"/>
  <c r="I28" i="18" s="1"/>
  <c r="X28" i="18"/>
  <c r="J29" i="18"/>
  <c r="AP29" i="18"/>
  <c r="AS29" i="18" s="1"/>
  <c r="AZ29" i="18" s="1"/>
  <c r="J31" i="18"/>
  <c r="I31" i="18" s="1"/>
  <c r="O31" i="18"/>
  <c r="J32" i="18"/>
  <c r="I32" i="18" s="1"/>
  <c r="X32" i="18"/>
  <c r="AP32" i="18"/>
  <c r="J33" i="18"/>
  <c r="I33" i="18" s="1"/>
  <c r="X33" i="18"/>
  <c r="H34" i="18"/>
  <c r="O34" i="18"/>
  <c r="V34" i="18"/>
  <c r="J35" i="18"/>
  <c r="X35" i="18"/>
  <c r="J36" i="18"/>
  <c r="X36" i="18"/>
  <c r="AP36" i="18"/>
  <c r="J37" i="18"/>
  <c r="X37" i="18"/>
  <c r="AP37" i="18"/>
  <c r="H38" i="18"/>
  <c r="O38" i="18"/>
  <c r="V38" i="18"/>
  <c r="J39" i="18"/>
  <c r="X39" i="18"/>
  <c r="AP39" i="18"/>
  <c r="AS39" i="18" s="1"/>
  <c r="J40" i="18"/>
  <c r="X40" i="18"/>
  <c r="J41" i="18"/>
  <c r="X41" i="18"/>
  <c r="AP41" i="18"/>
  <c r="AS41" i="18" s="1"/>
  <c r="AD42" i="18"/>
  <c r="AE42" i="18"/>
  <c r="Z43" i="18"/>
  <c r="AZ39" i="18" l="1"/>
  <c r="AZ27" i="18"/>
  <c r="AS26" i="18"/>
  <c r="AZ28" i="18"/>
  <c r="AZ26" i="18" s="1"/>
  <c r="AZ41" i="18"/>
  <c r="AZ20" i="18"/>
  <c r="AZ32" i="18"/>
  <c r="BI32" i="18" s="1"/>
  <c r="AF38" i="18"/>
  <c r="AF22" i="18"/>
  <c r="AP31" i="18"/>
  <c r="AI31" i="18"/>
  <c r="AI30" i="18" s="1"/>
  <c r="AP16" i="18"/>
  <c r="AS16" i="18" s="1"/>
  <c r="AP23" i="18"/>
  <c r="AP22" i="18" s="1"/>
  <c r="AZ37" i="18"/>
  <c r="AF34" i="18"/>
  <c r="AF30" i="18" s="1"/>
  <c r="AF26" i="18"/>
  <c r="AF18" i="18" s="1"/>
  <c r="AI34" i="18"/>
  <c r="AP17" i="18"/>
  <c r="AS17" i="18" s="1"/>
  <c r="AZ17" i="18" s="1"/>
  <c r="BI17" i="18" s="1"/>
  <c r="AP25" i="18"/>
  <c r="AS25" i="18" s="1"/>
  <c r="AP40" i="18"/>
  <c r="AP35" i="18"/>
  <c r="AS35" i="18" s="1"/>
  <c r="AH23" i="18"/>
  <c r="AC18" i="18"/>
  <c r="AI22" i="18"/>
  <c r="AI18" i="18" s="1"/>
  <c r="AI38" i="18"/>
  <c r="AP21" i="18"/>
  <c r="AP24" i="18"/>
  <c r="AS24" i="18" s="1"/>
  <c r="AS36" i="18"/>
  <c r="B39" i="13"/>
  <c r="B43" i="13"/>
  <c r="B47" i="13"/>
  <c r="B51" i="13"/>
  <c r="B55" i="13"/>
  <c r="B59" i="13"/>
  <c r="B63" i="13"/>
  <c r="B67" i="13"/>
  <c r="B71" i="13"/>
  <c r="B75" i="13"/>
  <c r="B79" i="13"/>
  <c r="B83" i="13"/>
  <c r="B87" i="13"/>
  <c r="B91" i="13"/>
  <c r="B95" i="13"/>
  <c r="B99" i="13"/>
  <c r="B103" i="13"/>
  <c r="B40" i="13"/>
  <c r="B48" i="13"/>
  <c r="B56" i="13"/>
  <c r="B64" i="13"/>
  <c r="B72" i="13"/>
  <c r="B76" i="13"/>
  <c r="B84" i="13"/>
  <c r="B88" i="13"/>
  <c r="B96" i="13"/>
  <c r="B36" i="13"/>
  <c r="B49" i="13"/>
  <c r="B53" i="13"/>
  <c r="B65" i="13"/>
  <c r="B44" i="13"/>
  <c r="B52" i="13"/>
  <c r="B60" i="13"/>
  <c r="B68" i="13"/>
  <c r="B80" i="13"/>
  <c r="B92" i="13"/>
  <c r="B100" i="13"/>
  <c r="B41" i="13"/>
  <c r="B57" i="13"/>
  <c r="B69" i="13"/>
  <c r="B37" i="13"/>
  <c r="B45" i="13"/>
  <c r="B61" i="13"/>
  <c r="B42" i="13"/>
  <c r="B58" i="13"/>
  <c r="B73" i="13"/>
  <c r="B81" i="13"/>
  <c r="B89" i="13"/>
  <c r="B97" i="13"/>
  <c r="B66" i="13"/>
  <c r="B85" i="13"/>
  <c r="B101" i="13"/>
  <c r="B54" i="13"/>
  <c r="B78" i="13"/>
  <c r="B94" i="13"/>
  <c r="B46" i="13"/>
  <c r="B62" i="13"/>
  <c r="B74" i="13"/>
  <c r="B82" i="13"/>
  <c r="B90" i="13"/>
  <c r="B98" i="13"/>
  <c r="B50" i="13"/>
  <c r="B77" i="13"/>
  <c r="B93" i="13"/>
  <c r="B38" i="13"/>
  <c r="B70" i="13"/>
  <c r="B86" i="13"/>
  <c r="B102" i="13"/>
  <c r="AS23" i="18"/>
  <c r="AS19" i="18"/>
  <c r="AS21" i="18"/>
  <c r="AE32" i="18"/>
  <c r="AH25" i="18"/>
  <c r="AH22" i="18" s="1"/>
  <c r="AH35" i="18"/>
  <c r="AE28" i="18"/>
  <c r="AG39" i="18"/>
  <c r="AH39" i="18" s="1"/>
  <c r="AP33" i="18"/>
  <c r="AE17" i="18"/>
  <c r="AE20" i="18"/>
  <c r="AE29" i="18"/>
  <c r="AE31" i="18"/>
  <c r="AE33" i="18"/>
  <c r="AE21" i="18"/>
  <c r="AE19" i="18"/>
  <c r="AE27" i="18"/>
  <c r="AC15" i="18"/>
  <c r="AC42" i="18" s="1"/>
  <c r="AC44" i="18" s="1"/>
  <c r="N21" i="18"/>
  <c r="N19" i="18"/>
  <c r="N33" i="18"/>
  <c r="N17" i="18"/>
  <c r="N18" i="18"/>
  <c r="Z29" i="18"/>
  <c r="O18" i="18"/>
  <c r="J22" i="18"/>
  <c r="J26" i="18"/>
  <c r="AG29" i="18"/>
  <c r="AH29" i="18" s="1"/>
  <c r="X9" i="18"/>
  <c r="AF9" i="18"/>
  <c r="Z25" i="18"/>
  <c r="Y22" i="18"/>
  <c r="N39" i="18"/>
  <c r="N29" i="18"/>
  <c r="Q22" i="18"/>
  <c r="N16" i="18"/>
  <c r="X34" i="18"/>
  <c r="N41" i="18"/>
  <c r="P35" i="18"/>
  <c r="Q35" i="18" s="1"/>
  <c r="N32" i="18"/>
  <c r="O30" i="18"/>
  <c r="N28" i="18"/>
  <c r="N20" i="18"/>
  <c r="J34" i="18"/>
  <c r="N31" i="18"/>
  <c r="Z24" i="18"/>
  <c r="BI39" i="18"/>
  <c r="I39" i="18"/>
  <c r="J38" i="18"/>
  <c r="BI41" i="18"/>
  <c r="X22" i="18"/>
  <c r="Z23" i="18"/>
  <c r="AM16" i="18"/>
  <c r="AM17" i="18"/>
  <c r="AM19" i="18"/>
  <c r="AM21" i="18"/>
  <c r="AM18" i="18"/>
  <c r="AM20" i="18"/>
  <c r="AM28" i="18"/>
  <c r="AM27" i="18"/>
  <c r="AM29" i="18"/>
  <c r="X38" i="18"/>
  <c r="V30" i="18"/>
  <c r="H30" i="18"/>
  <c r="Z35" i="18"/>
  <c r="AM32" i="18"/>
  <c r="X26" i="18"/>
  <c r="AP26" i="18"/>
  <c r="V18" i="18"/>
  <c r="AM41" i="18"/>
  <c r="AM39" i="18"/>
  <c r="AM33" i="18"/>
  <c r="BI29" i="18"/>
  <c r="BI28" i="18"/>
  <c r="BI27" i="18"/>
  <c r="H18" i="18"/>
  <c r="I27" i="18"/>
  <c r="I17" i="18"/>
  <c r="AZ25" i="18" l="1"/>
  <c r="BI25" i="18" s="1"/>
  <c r="AP34" i="18"/>
  <c r="AP30" i="18" s="1"/>
  <c r="AZ19" i="18"/>
  <c r="BI19" i="18" s="1"/>
  <c r="AZ21" i="18"/>
  <c r="AZ24" i="18"/>
  <c r="BI24" i="18" s="1"/>
  <c r="AS34" i="18"/>
  <c r="AZ35" i="18"/>
  <c r="BI35" i="18" s="1"/>
  <c r="AS40" i="18"/>
  <c r="AP38" i="18"/>
  <c r="AS33" i="18"/>
  <c r="AS22" i="18"/>
  <c r="AZ23" i="18"/>
  <c r="BI23" i="18" s="1"/>
  <c r="AZ36" i="18"/>
  <c r="BI36" i="18" s="1"/>
  <c r="AZ16" i="18"/>
  <c r="BI16" i="18" s="1"/>
  <c r="AS31" i="18"/>
  <c r="AS18" i="18"/>
  <c r="AF15" i="18"/>
  <c r="AF42" i="18" s="1"/>
  <c r="AF44" i="18" s="1"/>
  <c r="J18" i="18"/>
  <c r="I18" i="18" s="1"/>
  <c r="H15" i="18"/>
  <c r="H42" i="18" s="1"/>
  <c r="H44" i="18" s="1"/>
  <c r="O15" i="18"/>
  <c r="O42" i="18" s="1"/>
  <c r="O44" i="18" s="1"/>
  <c r="AZ34" i="18"/>
  <c r="J30" i="18"/>
  <c r="J15" i="18" s="1"/>
  <c r="I15" i="18" s="1"/>
  <c r="V15" i="18"/>
  <c r="V42" i="18" s="1"/>
  <c r="V44" i="18" s="1"/>
  <c r="X30" i="18"/>
  <c r="AP18" i="18"/>
  <c r="Y37" i="18"/>
  <c r="Z37" i="18" s="1"/>
  <c r="Y41" i="18"/>
  <c r="Z41" i="18" s="1"/>
  <c r="Z22" i="18"/>
  <c r="AG41" i="18"/>
  <c r="AH41" i="18" s="1"/>
  <c r="AG37" i="18"/>
  <c r="AH37" i="18" s="1"/>
  <c r="BI22" i="18"/>
  <c r="BI37" i="18"/>
  <c r="BI20" i="18"/>
  <c r="BI26" i="18"/>
  <c r="X18" i="18"/>
  <c r="AZ40" i="18" l="1"/>
  <c r="AS38" i="18"/>
  <c r="AS30" i="18" s="1"/>
  <c r="AS15" i="18" s="1"/>
  <c r="AZ31" i="18"/>
  <c r="BI31" i="18" s="1"/>
  <c r="AZ22" i="18"/>
  <c r="AZ18" i="18" s="1"/>
  <c r="AZ33" i="18"/>
  <c r="BI33" i="18" s="1"/>
  <c r="BI21" i="18"/>
  <c r="J42" i="18"/>
  <c r="I42" i="18" s="1"/>
  <c r="AP15" i="18"/>
  <c r="AP42" i="18" s="1"/>
  <c r="AP44" i="18" s="1"/>
  <c r="BI18" i="18"/>
  <c r="X15" i="18"/>
  <c r="BI34" i="18"/>
  <c r="BI40" i="18" l="1"/>
  <c r="BI38" i="18" s="1"/>
  <c r="AZ38" i="18"/>
  <c r="AZ30" i="18"/>
  <c r="AZ15" i="18" s="1"/>
  <c r="AZ42" i="18" s="1"/>
  <c r="AZ44" i="18" s="1"/>
  <c r="J44" i="18"/>
  <c r="I44" i="18" s="1"/>
  <c r="BI30" i="18"/>
  <c r="BI15" i="18" s="1"/>
  <c r="BI42" i="18" s="1"/>
  <c r="BI44" i="18" s="1"/>
  <c r="X42" i="18"/>
  <c r="W42" i="18" l="1"/>
  <c r="X44" i="18"/>
  <c r="F3" i="5" l="1"/>
  <c r="G9" i="5" l="1"/>
  <c r="G10" i="5"/>
  <c r="G11" i="5"/>
  <c r="G12" i="5"/>
  <c r="G13" i="5"/>
  <c r="G14" i="5"/>
  <c r="G15" i="5"/>
  <c r="G18" i="5"/>
  <c r="G19" i="5"/>
  <c r="G20" i="5"/>
  <c r="G21" i="5"/>
  <c r="G22" i="5"/>
  <c r="G23" i="5"/>
  <c r="G4" i="5"/>
  <c r="G5" i="5"/>
  <c r="G6" i="5"/>
  <c r="I24" i="5" l="1"/>
  <c r="D175" i="5"/>
  <c r="J4" i="14"/>
  <c r="G46" i="6"/>
  <c r="AP3" i="18" s="1"/>
  <c r="E89" i="6"/>
  <c r="E106" i="6"/>
  <c r="E112" i="6"/>
  <c r="AP6" i="18"/>
  <c r="G2" i="6"/>
  <c r="G3" i="6" s="1"/>
  <c r="L2" i="6"/>
  <c r="K2" i="6"/>
  <c r="J2" i="6"/>
  <c r="I2" i="6"/>
  <c r="H2" i="6"/>
  <c r="F2" i="6"/>
  <c r="E29" i="6" l="1"/>
  <c r="D177" i="5"/>
  <c r="H29" i="6"/>
  <c r="AQ25" i="18"/>
  <c r="AQ29" i="18"/>
  <c r="AO17" i="18"/>
  <c r="AO16" i="18"/>
  <c r="AO29" i="18"/>
  <c r="AO31" i="18"/>
  <c r="AO41" i="18"/>
  <c r="AO21" i="18"/>
  <c r="AO27" i="18"/>
  <c r="AO28" i="18"/>
  <c r="AO18" i="18"/>
  <c r="AO19" i="18"/>
  <c r="AO32" i="18"/>
  <c r="AO39" i="18"/>
  <c r="AO20" i="18"/>
  <c r="AO33" i="18"/>
  <c r="H49" i="6"/>
  <c r="AP5" i="18"/>
  <c r="AQ24" i="18" s="1"/>
  <c r="H50" i="6"/>
  <c r="AT5" i="18" l="1"/>
  <c r="AT24" i="18" s="1"/>
  <c r="I49" i="6"/>
  <c r="J49" i="6" s="1"/>
  <c r="K49" i="6" s="1"/>
  <c r="AT6" i="18"/>
  <c r="AT21" i="18" s="1"/>
  <c r="I50" i="6"/>
  <c r="I29" i="6"/>
  <c r="J29" i="6"/>
  <c r="K29" i="6"/>
  <c r="G29" i="6"/>
  <c r="F29" i="6"/>
  <c r="AT29" i="18"/>
  <c r="AZ6" i="18"/>
  <c r="I52" i="6" l="1"/>
  <c r="J50" i="6"/>
  <c r="AT25" i="18"/>
  <c r="BA25" i="18"/>
  <c r="BA29" i="18"/>
  <c r="AZ5" i="18"/>
  <c r="BA24" i="18" s="1"/>
  <c r="BI5" i="18"/>
  <c r="BJ24" i="18" s="1"/>
  <c r="BK24" i="18" s="1"/>
  <c r="BC5" i="18"/>
  <c r="BC6" i="18"/>
  <c r="K50" i="6" l="1"/>
  <c r="K52" i="6" s="1"/>
  <c r="J52" i="6"/>
  <c r="BC25" i="18"/>
  <c r="BC29" i="18"/>
  <c r="BC24" i="18"/>
  <c r="BC28" i="18"/>
  <c r="BI6" i="18"/>
  <c r="BJ25" i="18" s="1"/>
  <c r="BK25" i="18" s="1"/>
  <c r="BC33" i="18" l="1"/>
  <c r="G16" i="14"/>
  <c r="G17" i="14"/>
  <c r="H17" i="14" s="1"/>
  <c r="G18" i="14"/>
  <c r="H18" i="14" s="1"/>
  <c r="G19" i="14"/>
  <c r="G21" i="14"/>
  <c r="H21" i="14" s="1"/>
  <c r="G22" i="14"/>
  <c r="H22" i="14" s="1"/>
  <c r="C28" i="5" l="1"/>
  <c r="J17" i="14"/>
  <c r="I17" i="14"/>
  <c r="J21" i="14"/>
  <c r="I21" i="14"/>
  <c r="I22" i="14"/>
  <c r="I18" i="14"/>
  <c r="J22" i="14"/>
  <c r="J18" i="14"/>
  <c r="H16" i="14"/>
  <c r="H19" i="14"/>
  <c r="C29" i="5" l="1"/>
  <c r="J16" i="14"/>
  <c r="I16" i="14"/>
  <c r="J19" i="14"/>
  <c r="I19" i="14"/>
  <c r="C30" i="5" l="1"/>
  <c r="F20" i="14"/>
  <c r="G20" i="14" s="1"/>
  <c r="K24" i="14"/>
  <c r="N24" i="14" s="1"/>
  <c r="C31" i="5" l="1"/>
  <c r="H20" i="14"/>
  <c r="C49" i="22"/>
  <c r="C24" i="22"/>
  <c r="F7" i="22"/>
  <c r="F8" i="22"/>
  <c r="G8" i="22"/>
  <c r="H8" i="22"/>
  <c r="I8" i="22"/>
  <c r="J8" i="22"/>
  <c r="K8" i="22"/>
  <c r="E7" i="22"/>
  <c r="C7" i="22" s="1"/>
  <c r="E8" i="22"/>
  <c r="C8" i="22" s="1"/>
  <c r="E18" i="22"/>
  <c r="F10" i="22"/>
  <c r="G10" i="22"/>
  <c r="F11" i="22"/>
  <c r="F14" i="22"/>
  <c r="G14" i="22"/>
  <c r="H14" i="22"/>
  <c r="I14" i="22"/>
  <c r="J14" i="22"/>
  <c r="K14" i="22"/>
  <c r="F15" i="22"/>
  <c r="G15" i="22"/>
  <c r="H15" i="22"/>
  <c r="I15" i="22"/>
  <c r="J15" i="22"/>
  <c r="K15" i="22"/>
  <c r="E11" i="22"/>
  <c r="E14" i="22"/>
  <c r="E15" i="22"/>
  <c r="F6" i="22"/>
  <c r="D6" i="22" s="1"/>
  <c r="G6" i="22"/>
  <c r="H6" i="22"/>
  <c r="I6" i="22"/>
  <c r="J6" i="22"/>
  <c r="K6" i="22"/>
  <c r="E5" i="22"/>
  <c r="C5" i="22" s="1"/>
  <c r="V26" i="17"/>
  <c r="C32" i="5" l="1"/>
  <c r="J20" i="14"/>
  <c r="I20" i="14"/>
  <c r="C33" i="5" l="1"/>
  <c r="E15" i="14"/>
  <c r="M23" i="14" s="1"/>
  <c r="C34" i="5" l="1"/>
  <c r="G44" i="6"/>
  <c r="C35" i="5" l="1"/>
  <c r="G11" i="22"/>
  <c r="F3" i="6"/>
  <c r="C36" i="5" l="1"/>
  <c r="AZ3" i="18"/>
  <c r="H11" i="22"/>
  <c r="H3" i="6"/>
  <c r="AY18" i="18" l="1"/>
  <c r="AY29" i="18"/>
  <c r="AY33" i="18"/>
  <c r="AY16" i="18"/>
  <c r="AY17" i="18"/>
  <c r="AY21" i="18"/>
  <c r="AY27" i="18"/>
  <c r="AY28" i="18"/>
  <c r="AY31" i="18"/>
  <c r="AY32" i="18"/>
  <c r="AY41" i="18"/>
  <c r="AY19" i="18"/>
  <c r="AY20" i="18"/>
  <c r="AY39" i="18"/>
  <c r="C37" i="5"/>
  <c r="I11" i="22"/>
  <c r="I3" i="6"/>
  <c r="BI3" i="18" l="1"/>
  <c r="BC3" i="18"/>
  <c r="C38" i="5"/>
  <c r="J11" i="22"/>
  <c r="J3" i="6"/>
  <c r="BH16" i="18" l="1"/>
  <c r="BH20" i="18"/>
  <c r="BH21" i="18"/>
  <c r="BH41" i="18"/>
  <c r="BH18" i="18"/>
  <c r="BH19" i="18"/>
  <c r="BH39" i="18"/>
  <c r="BH29" i="18"/>
  <c r="BH31" i="18"/>
  <c r="BH33" i="18"/>
  <c r="BH17" i="18"/>
  <c r="BH27" i="18"/>
  <c r="BH28" i="18"/>
  <c r="BH32" i="18"/>
  <c r="K11" i="22"/>
  <c r="C39" i="5"/>
  <c r="L3" i="6"/>
  <c r="K3" i="6"/>
  <c r="C40" i="5" l="1"/>
  <c r="O23" i="14"/>
  <c r="Q23" i="14" s="1"/>
  <c r="C41" i="5" l="1"/>
  <c r="N90" i="6"/>
  <c r="N91" i="6"/>
  <c r="N92" i="6"/>
  <c r="N93" i="6"/>
  <c r="N94" i="6"/>
  <c r="C42" i="5" l="1"/>
  <c r="N89" i="6"/>
  <c r="C43" i="5" l="1"/>
  <c r="C44" i="5" s="1"/>
  <c r="C27" i="12"/>
  <c r="C28" i="10"/>
  <c r="C28" i="9"/>
  <c r="C28" i="7"/>
  <c r="C45" i="5" l="1"/>
  <c r="F68" i="6"/>
  <c r="C46" i="5" l="1"/>
  <c r="F18" i="22"/>
  <c r="G68" i="6"/>
  <c r="H68" i="6" s="1"/>
  <c r="I68" i="6" s="1"/>
  <c r="J68" i="6" s="1"/>
  <c r="M12" i="14"/>
  <c r="H6" i="6"/>
  <c r="AR11" i="18" s="1"/>
  <c r="AU21" i="18" s="1"/>
  <c r="P6" i="19"/>
  <c r="C10" i="19"/>
  <c r="AD24" i="17"/>
  <c r="AD10" i="17"/>
  <c r="AD11" i="17"/>
  <c r="AD13" i="17"/>
  <c r="AD9" i="17"/>
  <c r="AC24" i="17"/>
  <c r="AC10" i="17"/>
  <c r="AC15" i="17"/>
  <c r="AC9" i="17"/>
  <c r="Y26" i="17"/>
  <c r="Y25" i="17"/>
  <c r="Y24" i="17"/>
  <c r="Y15" i="17"/>
  <c r="Y16" i="17"/>
  <c r="Y14" i="17"/>
  <c r="W12" i="17"/>
  <c r="AD12" i="17" s="1"/>
  <c r="H26" i="17"/>
  <c r="AJ26" i="17"/>
  <c r="AQ26" i="17"/>
  <c r="AR16" i="18" l="1"/>
  <c r="AR17" i="18"/>
  <c r="AQ17" i="18" s="1"/>
  <c r="AR20" i="18"/>
  <c r="AQ20" i="18" s="1"/>
  <c r="AR19" i="18"/>
  <c r="AQ19" i="18" s="1"/>
  <c r="AR31" i="18"/>
  <c r="AQ31" i="18" s="1"/>
  <c r="AR28" i="18"/>
  <c r="AQ28" i="18" s="1"/>
  <c r="AR33" i="18"/>
  <c r="AQ33" i="18" s="1"/>
  <c r="AR25" i="18"/>
  <c r="AQ16" i="18"/>
  <c r="AR24" i="18"/>
  <c r="C47" i="5"/>
  <c r="AC26" i="17"/>
  <c r="C48" i="5" l="1"/>
  <c r="P13" i="17"/>
  <c r="P12" i="17"/>
  <c r="J25" i="17"/>
  <c r="J24" i="17"/>
  <c r="J16" i="17"/>
  <c r="J15" i="17"/>
  <c r="J14" i="17"/>
  <c r="J13" i="17"/>
  <c r="J12" i="17"/>
  <c r="J11" i="17"/>
  <c r="J10" i="17"/>
  <c r="J9" i="17"/>
  <c r="W5" i="17"/>
  <c r="K4" i="14"/>
  <c r="M17" i="14"/>
  <c r="G6" i="6"/>
  <c r="AK11" i="18" s="1"/>
  <c r="AK17" i="18" l="1"/>
  <c r="AJ17" i="18" s="1"/>
  <c r="AK16" i="18"/>
  <c r="AJ16" i="18" s="1"/>
  <c r="AK25" i="18"/>
  <c r="AK23" i="18"/>
  <c r="AK24" i="18"/>
  <c r="N12" i="14"/>
  <c r="N17" i="14" s="1"/>
  <c r="G1" i="5"/>
  <c r="C49" i="5"/>
  <c r="Q6" i="19"/>
  <c r="X5" i="17"/>
  <c r="AK22" i="18" l="1"/>
  <c r="C50" i="5"/>
  <c r="E7" i="13"/>
  <c r="F1" i="13"/>
  <c r="F1" i="12"/>
  <c r="E1" i="13"/>
  <c r="E1" i="12"/>
  <c r="E1" i="10"/>
  <c r="E1" i="9"/>
  <c r="E1" i="7"/>
  <c r="F1" i="5"/>
  <c r="F1" i="7"/>
  <c r="AJ22" i="18" l="1"/>
  <c r="C51" i="5"/>
  <c r="O12" i="14"/>
  <c r="U6" i="19"/>
  <c r="AD5" i="17"/>
  <c r="G1" i="7"/>
  <c r="G1" i="12"/>
  <c r="G1" i="10"/>
  <c r="G1" i="13"/>
  <c r="F1" i="10"/>
  <c r="F1" i="9"/>
  <c r="I6" i="6"/>
  <c r="AU11" i="18" s="1"/>
  <c r="G1" i="9"/>
  <c r="J6" i="6"/>
  <c r="H1" i="5"/>
  <c r="AU24" i="18" l="1"/>
  <c r="AU29" i="18"/>
  <c r="AU25" i="18"/>
  <c r="BB29" i="18"/>
  <c r="BD11" i="18"/>
  <c r="BB11" i="18"/>
  <c r="BB21" i="18" s="1"/>
  <c r="C52" i="5"/>
  <c r="P12" i="14"/>
  <c r="V6" i="19"/>
  <c r="AK5" i="17"/>
  <c r="AE5" i="17"/>
  <c r="Q12" i="14"/>
  <c r="Z6" i="19"/>
  <c r="AL5" i="17"/>
  <c r="H1" i="12"/>
  <c r="H1" i="10"/>
  <c r="H1" i="13"/>
  <c r="I1" i="13"/>
  <c r="I1" i="10"/>
  <c r="I1" i="12"/>
  <c r="H1" i="9"/>
  <c r="H1" i="7"/>
  <c r="I1" i="5"/>
  <c r="K6" i="6"/>
  <c r="J1" i="5"/>
  <c r="I1" i="7"/>
  <c r="I1" i="9"/>
  <c r="BD28" i="18" l="1"/>
  <c r="BD29" i="18"/>
  <c r="BD33" i="18"/>
  <c r="BB25" i="18"/>
  <c r="BB24" i="18"/>
  <c r="BD24" i="18"/>
  <c r="BD25" i="18"/>
  <c r="C53" i="5"/>
  <c r="R12" i="14"/>
  <c r="AA6" i="19"/>
  <c r="J1" i="12"/>
  <c r="J1" i="10"/>
  <c r="J1" i="13"/>
  <c r="K1" i="5"/>
  <c r="J1" i="7"/>
  <c r="J1" i="9"/>
  <c r="C54" i="5" l="1"/>
  <c r="F7" i="13"/>
  <c r="G7" i="13"/>
  <c r="H7" i="13"/>
  <c r="I7" i="13"/>
  <c r="J7" i="13"/>
  <c r="K7" i="13"/>
  <c r="F6" i="13"/>
  <c r="F6" i="12"/>
  <c r="C55" i="5" l="1"/>
  <c r="F6" i="10"/>
  <c r="F6" i="9"/>
  <c r="F6" i="7"/>
  <c r="C56" i="5" l="1"/>
  <c r="F5" i="10"/>
  <c r="F5" i="12"/>
  <c r="F5" i="13"/>
  <c r="F5" i="9"/>
  <c r="F5" i="7"/>
  <c r="C57" i="5" l="1"/>
  <c r="C92" i="5" s="1"/>
  <c r="C70" i="5" l="1"/>
  <c r="C62" i="5"/>
  <c r="C69" i="5"/>
  <c r="C61" i="5"/>
  <c r="C67" i="5"/>
  <c r="C59" i="5"/>
  <c r="C81" i="5"/>
  <c r="C87" i="5"/>
  <c r="C63" i="5"/>
  <c r="C64" i="5"/>
  <c r="C86" i="5"/>
  <c r="C78" i="5"/>
  <c r="C85" i="5"/>
  <c r="C77" i="5"/>
  <c r="C58" i="5"/>
  <c r="C73" i="5"/>
  <c r="C84" i="5"/>
  <c r="C83" i="5"/>
  <c r="C80" i="5"/>
  <c r="C91" i="5"/>
  <c r="C72" i="5"/>
  <c r="C90" i="5"/>
  <c r="C79" i="5"/>
  <c r="C89" i="5"/>
  <c r="C76" i="5"/>
  <c r="C88" i="5"/>
  <c r="C68" i="5"/>
  <c r="C66" i="5"/>
  <c r="C82" i="5"/>
  <c r="C74" i="5"/>
  <c r="C71" i="5"/>
  <c r="C65" i="5"/>
  <c r="C60" i="5"/>
  <c r="C75" i="5"/>
  <c r="M89" i="6"/>
  <c r="D99" i="6"/>
  <c r="D100" i="6"/>
  <c r="C100" i="6"/>
  <c r="C98" i="6"/>
  <c r="C99" i="6"/>
  <c r="C79" i="6"/>
  <c r="C90" i="6" s="1"/>
  <c r="D79" i="6"/>
  <c r="C80" i="6"/>
  <c r="C91" i="6" s="1"/>
  <c r="D80" i="6"/>
  <c r="D91" i="6" s="1"/>
  <c r="C81" i="6"/>
  <c r="C92" i="6" s="1"/>
  <c r="D81" i="6"/>
  <c r="D92" i="6" s="1"/>
  <c r="C82" i="6"/>
  <c r="C93" i="6" s="1"/>
  <c r="D82" i="6"/>
  <c r="D93" i="6" s="1"/>
  <c r="C83" i="6"/>
  <c r="C94" i="6" s="1"/>
  <c r="D83" i="6"/>
  <c r="D94" i="6" s="1"/>
  <c r="E19" i="6"/>
  <c r="E53" i="6" s="1"/>
  <c r="C19" i="6"/>
  <c r="C53" i="6" s="1"/>
  <c r="P8" i="18" s="1"/>
  <c r="AF8" i="18" l="1"/>
  <c r="AG36" i="18" s="1"/>
  <c r="AH36" i="18" s="1"/>
  <c r="AH34" i="18" s="1"/>
  <c r="X8" i="18"/>
  <c r="P36" i="18"/>
  <c r="Q36" i="18" s="1"/>
  <c r="Q34" i="18" s="1"/>
  <c r="P40" i="18"/>
  <c r="Q40" i="18" s="1"/>
  <c r="E116" i="6"/>
  <c r="C89" i="6"/>
  <c r="D78" i="6"/>
  <c r="D90" i="6"/>
  <c r="D89" i="6" s="1"/>
  <c r="E73" i="6"/>
  <c r="C78" i="6"/>
  <c r="C73" i="6"/>
  <c r="AG40" i="18" l="1"/>
  <c r="AH40" i="18" s="1"/>
  <c r="AH38" i="18" s="1"/>
  <c r="AG32" i="18"/>
  <c r="AH32" i="18" s="1"/>
  <c r="Y36" i="18"/>
  <c r="Y40" i="18"/>
  <c r="Z40" i="18" s="1"/>
  <c r="J9" i="14"/>
  <c r="M22" i="14" s="1"/>
  <c r="G16" i="6"/>
  <c r="Y34" i="18" l="1"/>
  <c r="Z34" i="18" s="1"/>
  <c r="Z36" i="18"/>
  <c r="H16" i="6"/>
  <c r="I5" i="5" s="1"/>
  <c r="G7" i="22"/>
  <c r="H6" i="10"/>
  <c r="H6" i="13"/>
  <c r="H6" i="12"/>
  <c r="H6" i="9"/>
  <c r="H6" i="7"/>
  <c r="I6" i="5"/>
  <c r="H5" i="13" l="1"/>
  <c r="I16" i="6"/>
  <c r="H7" i="22"/>
  <c r="H5" i="9"/>
  <c r="H5" i="7"/>
  <c r="H5" i="12"/>
  <c r="H5" i="10"/>
  <c r="J6" i="10"/>
  <c r="J6" i="13"/>
  <c r="J6" i="12"/>
  <c r="F4" i="10"/>
  <c r="F4" i="13"/>
  <c r="F4" i="12"/>
  <c r="F4" i="9"/>
  <c r="F4" i="7"/>
  <c r="J6" i="9"/>
  <c r="J6" i="7"/>
  <c r="K6" i="5"/>
  <c r="E58" i="6"/>
  <c r="P4" i="19" s="1"/>
  <c r="E59" i="6"/>
  <c r="P5" i="19" s="1"/>
  <c r="C58" i="6"/>
  <c r="C59" i="6"/>
  <c r="C57" i="6"/>
  <c r="J16" i="6" l="1"/>
  <c r="I7" i="22"/>
  <c r="D62" i="6"/>
  <c r="E62" i="6" s="1"/>
  <c r="D63" i="6"/>
  <c r="E63" i="6" s="1"/>
  <c r="C67" i="21"/>
  <c r="E66" i="21"/>
  <c r="C66" i="21"/>
  <c r="C68" i="21" s="1"/>
  <c r="C63" i="21"/>
  <c r="E62" i="21"/>
  <c r="C62" i="21"/>
  <c r="C64" i="21" s="1"/>
  <c r="C59" i="21"/>
  <c r="E58" i="21"/>
  <c r="C58" i="21"/>
  <c r="C55" i="21"/>
  <c r="E54" i="21"/>
  <c r="C54" i="21"/>
  <c r="C51" i="21"/>
  <c r="E50" i="21"/>
  <c r="C50" i="21"/>
  <c r="G47" i="21"/>
  <c r="F47" i="21"/>
  <c r="H46" i="21"/>
  <c r="G67" i="21" s="1"/>
  <c r="H67" i="21" s="1"/>
  <c r="G46" i="21"/>
  <c r="G66" i="21" s="1"/>
  <c r="G45" i="21"/>
  <c r="G44" i="21"/>
  <c r="G43" i="21"/>
  <c r="G42" i="21"/>
  <c r="G41" i="21"/>
  <c r="G40" i="21"/>
  <c r="G39" i="21"/>
  <c r="G37" i="21"/>
  <c r="F37" i="21"/>
  <c r="G36" i="21"/>
  <c r="H36" i="21" s="1"/>
  <c r="G63" i="21" s="1"/>
  <c r="H63" i="21" s="1"/>
  <c r="G35" i="21"/>
  <c r="F35" i="21"/>
  <c r="G34" i="21"/>
  <c r="H34" i="21" s="1"/>
  <c r="G33" i="21"/>
  <c r="F33" i="21"/>
  <c r="G32" i="21"/>
  <c r="F32" i="21"/>
  <c r="G31" i="21"/>
  <c r="F31" i="21"/>
  <c r="G30" i="21"/>
  <c r="F30" i="21"/>
  <c r="H29" i="21"/>
  <c r="G59" i="21" s="1"/>
  <c r="G29" i="21"/>
  <c r="G58" i="21" s="1"/>
  <c r="G28" i="21"/>
  <c r="F28" i="21"/>
  <c r="G27" i="21"/>
  <c r="G26" i="21"/>
  <c r="F26" i="21"/>
  <c r="G25" i="21"/>
  <c r="G24" i="21"/>
  <c r="F24" i="21"/>
  <c r="G23" i="21"/>
  <c r="G22" i="21"/>
  <c r="G21" i="21"/>
  <c r="G20" i="21"/>
  <c r="F20" i="21"/>
  <c r="G19" i="21"/>
  <c r="H18" i="21"/>
  <c r="G18" i="21"/>
  <c r="G16" i="21"/>
  <c r="F16" i="21"/>
  <c r="H15" i="21"/>
  <c r="G15" i="21"/>
  <c r="G54" i="21" s="1"/>
  <c r="G14" i="21"/>
  <c r="F14" i="21"/>
  <c r="F12" i="21"/>
  <c r="E12" i="21"/>
  <c r="G12" i="21" s="1"/>
  <c r="G7" i="21"/>
  <c r="F7" i="21"/>
  <c r="E5" i="21"/>
  <c r="G5" i="21" s="1"/>
  <c r="F50" i="21" l="1"/>
  <c r="F66" i="21"/>
  <c r="H59" i="21"/>
  <c r="C52" i="21"/>
  <c r="C60" i="21"/>
  <c r="G51" i="21"/>
  <c r="H51" i="21" s="1"/>
  <c r="K16" i="6"/>
  <c r="K7" i="22" s="1"/>
  <c r="J7" i="22"/>
  <c r="C56" i="21"/>
  <c r="F62" i="21"/>
  <c r="G55" i="21"/>
  <c r="H55" i="21" s="1"/>
  <c r="G50" i="21"/>
  <c r="G52" i="21" s="1"/>
  <c r="F54" i="21"/>
  <c r="G62" i="6"/>
  <c r="I62" i="6" s="1"/>
  <c r="F62" i="6"/>
  <c r="W3" i="17" s="1"/>
  <c r="G63" i="6"/>
  <c r="I63" i="6" s="1"/>
  <c r="F63" i="6"/>
  <c r="W4" i="17" s="1"/>
  <c r="H4" i="10"/>
  <c r="H4" i="13"/>
  <c r="H4" i="12"/>
  <c r="H4" i="9"/>
  <c r="H4" i="7"/>
  <c r="I4" i="5"/>
  <c r="H54" i="21"/>
  <c r="H56" i="21" s="1"/>
  <c r="G56" i="21"/>
  <c r="H58" i="21"/>
  <c r="H60" i="21" s="1"/>
  <c r="G60" i="21"/>
  <c r="G68" i="21"/>
  <c r="F58" i="21"/>
  <c r="G62" i="21"/>
  <c r="H66" i="21"/>
  <c r="H68" i="21" s="1"/>
  <c r="H50" i="21" l="1"/>
  <c r="H52" i="21" s="1"/>
  <c r="H62" i="6"/>
  <c r="AD3" i="17" s="1"/>
  <c r="H63" i="6"/>
  <c r="J63" i="6" s="1"/>
  <c r="G64" i="21"/>
  <c r="H62" i="21"/>
  <c r="H64" i="21" s="1"/>
  <c r="J62" i="6" l="1"/>
  <c r="K62" i="6" s="1"/>
  <c r="AD4" i="17"/>
  <c r="K63" i="6"/>
  <c r="AK4" i="17"/>
  <c r="AK3" i="17" l="1"/>
  <c r="AR4" i="17"/>
  <c r="AR3" i="17"/>
  <c r="E45" i="6"/>
  <c r="X2" i="18" s="1"/>
  <c r="Y16" i="18" l="1"/>
  <c r="Y32" i="18"/>
  <c r="Y21" i="18"/>
  <c r="Y19" i="18"/>
  <c r="Y28" i="18"/>
  <c r="Y33" i="18"/>
  <c r="Y31" i="18"/>
  <c r="Y27" i="18"/>
  <c r="Y20" i="18"/>
  <c r="Y17" i="18"/>
  <c r="Y39" i="18"/>
  <c r="E10" i="22"/>
  <c r="C10" i="22" s="1"/>
  <c r="AF2" i="18"/>
  <c r="F6" i="5"/>
  <c r="F5" i="5"/>
  <c r="AD32" i="18" l="1"/>
  <c r="AD28" i="18"/>
  <c r="AK28" i="18" s="1"/>
  <c r="AD16" i="18"/>
  <c r="AD21" i="18"/>
  <c r="AK21" i="18" s="1"/>
  <c r="AD27" i="18"/>
  <c r="AK27" i="18" s="1"/>
  <c r="AD20" i="18"/>
  <c r="AK20" i="18" s="1"/>
  <c r="AD17" i="18"/>
  <c r="AD33" i="18"/>
  <c r="AK33" i="18" s="1"/>
  <c r="AD31" i="18"/>
  <c r="AK31" i="18" s="1"/>
  <c r="AD29" i="18"/>
  <c r="AK29" i="18" s="1"/>
  <c r="AD19" i="18"/>
  <c r="AK19" i="18" s="1"/>
  <c r="W19" i="18"/>
  <c r="Z19" i="18"/>
  <c r="Y38" i="18"/>
  <c r="Z38" i="18" s="1"/>
  <c r="W39" i="18"/>
  <c r="Z39" i="18"/>
  <c r="Z31" i="18"/>
  <c r="W31" i="18"/>
  <c r="Z21" i="18"/>
  <c r="W21" i="18"/>
  <c r="Z17" i="18"/>
  <c r="W17" i="18"/>
  <c r="W33" i="18"/>
  <c r="Z33" i="18"/>
  <c r="Z32" i="18"/>
  <c r="W32" i="18"/>
  <c r="Y26" i="18"/>
  <c r="W27" i="18"/>
  <c r="Z27" i="18"/>
  <c r="Z20" i="18"/>
  <c r="W20" i="18"/>
  <c r="Z28" i="18"/>
  <c r="W28" i="18"/>
  <c r="Z16" i="18"/>
  <c r="W16" i="18"/>
  <c r="H45" i="6"/>
  <c r="C72" i="6"/>
  <c r="D21" i="14"/>
  <c r="E6" i="13"/>
  <c r="E5" i="13"/>
  <c r="C190" i="12"/>
  <c r="E34" i="6" s="1"/>
  <c r="F34" i="6" s="1"/>
  <c r="G34" i="6" s="1"/>
  <c r="H34" i="6" s="1"/>
  <c r="I34" i="6" s="1"/>
  <c r="J34" i="6" s="1"/>
  <c r="K34" i="6" s="1"/>
  <c r="C102" i="10"/>
  <c r="E33" i="6" s="1"/>
  <c r="F33" i="6" s="1"/>
  <c r="G33" i="6" s="1"/>
  <c r="H33" i="6" s="1"/>
  <c r="I33" i="6" s="1"/>
  <c r="J33" i="6" s="1"/>
  <c r="K33" i="6" s="1"/>
  <c r="E6" i="12"/>
  <c r="E5" i="12"/>
  <c r="E3" i="12"/>
  <c r="AK26" i="18" l="1"/>
  <c r="AH21" i="18"/>
  <c r="AJ21" i="18"/>
  <c r="AJ19" i="18"/>
  <c r="AH19" i="18"/>
  <c r="AG19" i="18" s="1"/>
  <c r="AH20" i="18"/>
  <c r="AG20" i="18" s="1"/>
  <c r="AJ20" i="18"/>
  <c r="AH27" i="18"/>
  <c r="AJ27" i="18"/>
  <c r="AJ28" i="18"/>
  <c r="AH28" i="18"/>
  <c r="AG28" i="18" s="1"/>
  <c r="AJ33" i="18"/>
  <c r="AH33" i="18"/>
  <c r="AG33" i="18" s="1"/>
  <c r="AJ31" i="18"/>
  <c r="AH31" i="18"/>
  <c r="AG31" i="18" s="1"/>
  <c r="AG21" i="18"/>
  <c r="AH17" i="18"/>
  <c r="AG17" i="18" s="1"/>
  <c r="AH16" i="18"/>
  <c r="AG16" i="18" s="1"/>
  <c r="Y30" i="18"/>
  <c r="Z30" i="18" s="1"/>
  <c r="Y18" i="18"/>
  <c r="Z26" i="18"/>
  <c r="I45" i="6"/>
  <c r="AZ2" i="18" s="1"/>
  <c r="AT2" i="18"/>
  <c r="H44" i="6"/>
  <c r="H10" i="22"/>
  <c r="D15" i="14"/>
  <c r="E3" i="13"/>
  <c r="E31" i="13" l="1"/>
  <c r="E53" i="13"/>
  <c r="E55" i="13"/>
  <c r="E57" i="13"/>
  <c r="E59" i="13"/>
  <c r="E61" i="13"/>
  <c r="E63" i="13"/>
  <c r="E65" i="13"/>
  <c r="E67" i="13"/>
  <c r="E69" i="13"/>
  <c r="E71" i="13"/>
  <c r="E73" i="13"/>
  <c r="E75" i="13"/>
  <c r="E77" i="13"/>
  <c r="E79" i="13"/>
  <c r="E81" i="13"/>
  <c r="E83" i="13"/>
  <c r="E85" i="13"/>
  <c r="E87" i="13"/>
  <c r="E89" i="13"/>
  <c r="E91" i="13"/>
  <c r="E93" i="13"/>
  <c r="E95" i="13"/>
  <c r="E97" i="13"/>
  <c r="E99" i="13"/>
  <c r="E101" i="13"/>
  <c r="E103" i="13"/>
  <c r="E52" i="13"/>
  <c r="E54" i="13"/>
  <c r="E56" i="13"/>
  <c r="E58" i="13"/>
  <c r="E60" i="13"/>
  <c r="E62" i="13"/>
  <c r="E64" i="13"/>
  <c r="E66" i="13"/>
  <c r="E68" i="13"/>
  <c r="E70" i="13"/>
  <c r="E72" i="13"/>
  <c r="E74" i="13"/>
  <c r="E76" i="13"/>
  <c r="E78" i="13"/>
  <c r="E80" i="13"/>
  <c r="E82" i="13"/>
  <c r="E84" i="13"/>
  <c r="E86" i="13"/>
  <c r="E88" i="13"/>
  <c r="E90" i="13"/>
  <c r="E92" i="13"/>
  <c r="E94" i="13"/>
  <c r="E96" i="13"/>
  <c r="E98" i="13"/>
  <c r="E100" i="13"/>
  <c r="E102" i="13"/>
  <c r="AU32" i="18"/>
  <c r="AT32" i="18" s="1"/>
  <c r="AU28" i="18"/>
  <c r="AT28" i="18" s="1"/>
  <c r="AU27" i="18"/>
  <c r="AT27" i="18" s="1"/>
  <c r="AU20" i="18"/>
  <c r="AT20" i="18" s="1"/>
  <c r="AU19" i="18"/>
  <c r="AT19" i="18" s="1"/>
  <c r="AU16" i="18"/>
  <c r="AT16" i="18" s="1"/>
  <c r="AU31" i="18"/>
  <c r="AT31" i="18" s="1"/>
  <c r="AU33" i="18"/>
  <c r="AT33" i="18" s="1"/>
  <c r="AW16" i="18"/>
  <c r="BB16" i="18" s="1"/>
  <c r="BB19" i="18"/>
  <c r="BB20" i="18"/>
  <c r="AU17" i="18"/>
  <c r="AT17" i="18" s="1"/>
  <c r="AJ26" i="18"/>
  <c r="AG27" i="18"/>
  <c r="AH26" i="18"/>
  <c r="AH18" i="18" s="1"/>
  <c r="AG18" i="18" s="1"/>
  <c r="AH30" i="18"/>
  <c r="AG30" i="18" s="1"/>
  <c r="BB32" i="18"/>
  <c r="BA32" i="18" s="1"/>
  <c r="BB28" i="18"/>
  <c r="BA28" i="18" s="1"/>
  <c r="BA20" i="18"/>
  <c r="AW32" i="18"/>
  <c r="AW29" i="18"/>
  <c r="AW39" i="18"/>
  <c r="AW41" i="18"/>
  <c r="AW28" i="18"/>
  <c r="AW27" i="18"/>
  <c r="BB27" i="18"/>
  <c r="BA19" i="18"/>
  <c r="AW21" i="18"/>
  <c r="AW20" i="18"/>
  <c r="AW31" i="18"/>
  <c r="AW17" i="18"/>
  <c r="BB17" i="18" s="1"/>
  <c r="BA17" i="18" s="1"/>
  <c r="AW33" i="18"/>
  <c r="AW18" i="18"/>
  <c r="AW19" i="18"/>
  <c r="BB31" i="18"/>
  <c r="BA31" i="18" s="1"/>
  <c r="Z18" i="18"/>
  <c r="Y15" i="18"/>
  <c r="BA16" i="18"/>
  <c r="I44" i="6"/>
  <c r="I10" i="22"/>
  <c r="J45" i="6"/>
  <c r="BC2" i="18" s="1"/>
  <c r="BD19" i="18" s="1"/>
  <c r="E6" i="10"/>
  <c r="E5" i="10"/>
  <c r="E3" i="10"/>
  <c r="F15" i="5"/>
  <c r="F14" i="5"/>
  <c r="F13" i="5"/>
  <c r="E6" i="9"/>
  <c r="E5" i="9"/>
  <c r="E3" i="9"/>
  <c r="E6" i="7"/>
  <c r="E5" i="7"/>
  <c r="E3" i="7"/>
  <c r="E7" i="7" s="1"/>
  <c r="AH15" i="18" l="1"/>
  <c r="AG15" i="18" s="1"/>
  <c r="BD17" i="18"/>
  <c r="BC17" i="18" s="1"/>
  <c r="BD31" i="18"/>
  <c r="BC31" i="18" s="1"/>
  <c r="BD16" i="18"/>
  <c r="BC16" i="18" s="1"/>
  <c r="AK18" i="18"/>
  <c r="AJ18" i="18" s="1"/>
  <c r="BB26" i="18"/>
  <c r="BA27" i="18"/>
  <c r="Y42" i="18"/>
  <c r="Y44" i="18" s="1"/>
  <c r="Z15" i="18"/>
  <c r="AU26" i="18"/>
  <c r="AT26" i="18" s="1"/>
  <c r="BD21" i="18"/>
  <c r="BC21" i="18" s="1"/>
  <c r="BD32" i="18"/>
  <c r="BC32" i="18" s="1"/>
  <c r="BD20" i="18"/>
  <c r="BC20" i="18" s="1"/>
  <c r="J10" i="22"/>
  <c r="J44" i="6"/>
  <c r="E7" i="9"/>
  <c r="G5" i="12"/>
  <c r="G5" i="13"/>
  <c r="G6" i="13"/>
  <c r="G6" i="12"/>
  <c r="G6" i="10"/>
  <c r="G5" i="10"/>
  <c r="G6" i="7"/>
  <c r="E7" i="10"/>
  <c r="G6" i="9"/>
  <c r="G5" i="9"/>
  <c r="Z42" i="18" l="1"/>
  <c r="Z44" i="18" s="1"/>
  <c r="W44" i="18" s="1"/>
  <c r="W15" i="18"/>
  <c r="Y10" i="18" s="1"/>
  <c r="K10" i="22"/>
  <c r="BI2" i="18"/>
  <c r="BK16" i="18" s="1"/>
  <c r="BJ16" i="18" s="1"/>
  <c r="BC19" i="18"/>
  <c r="AH42" i="18"/>
  <c r="K44" i="6"/>
  <c r="I5" i="10"/>
  <c r="I5" i="12"/>
  <c r="I5" i="9"/>
  <c r="I5" i="13"/>
  <c r="I6" i="12"/>
  <c r="I6" i="13"/>
  <c r="I6" i="10"/>
  <c r="E98" i="10"/>
  <c r="E100" i="10"/>
  <c r="E99" i="10"/>
  <c r="E95" i="10"/>
  <c r="I6" i="7"/>
  <c r="I6" i="9"/>
  <c r="E100" i="7"/>
  <c r="E101" i="7"/>
  <c r="E99" i="7"/>
  <c r="AH44" i="18" l="1"/>
  <c r="AG44" i="18" s="1"/>
  <c r="AG42" i="18"/>
  <c r="BF31" i="18"/>
  <c r="BK31" i="18" s="1"/>
  <c r="BJ31" i="18" s="1"/>
  <c r="BF27" i="18"/>
  <c r="BK27" i="18" s="1"/>
  <c r="BF29" i="18"/>
  <c r="BK29" i="18" s="1"/>
  <c r="BJ29" i="18" s="1"/>
  <c r="BF20" i="18"/>
  <c r="BF16" i="18"/>
  <c r="BF41" i="18"/>
  <c r="BK41" i="18" s="1"/>
  <c r="BF33" i="18"/>
  <c r="BK33" i="18" s="1"/>
  <c r="BJ33" i="18" s="1"/>
  <c r="BK21" i="18"/>
  <c r="BJ21" i="18" s="1"/>
  <c r="BF32" i="18"/>
  <c r="BK32" i="18" s="1"/>
  <c r="BJ32" i="18" s="1"/>
  <c r="BF21" i="18"/>
  <c r="BF17" i="18"/>
  <c r="BF19" i="18"/>
  <c r="BK17" i="18"/>
  <c r="BJ17" i="18" s="1"/>
  <c r="BF39" i="18"/>
  <c r="BK39" i="18" s="1"/>
  <c r="BF18" i="18"/>
  <c r="BF28" i="18"/>
  <c r="BK28" i="18" s="1"/>
  <c r="BJ28" i="18" s="1"/>
  <c r="BK19" i="18"/>
  <c r="BK20" i="18"/>
  <c r="BJ20" i="18" s="1"/>
  <c r="J5" i="10"/>
  <c r="J5" i="13"/>
  <c r="J5" i="12"/>
  <c r="K5" i="5"/>
  <c r="J5" i="7"/>
  <c r="J5" i="9"/>
  <c r="K5" i="12"/>
  <c r="K6" i="12"/>
  <c r="K6" i="13"/>
  <c r="K6" i="10"/>
  <c r="K6" i="7"/>
  <c r="K6" i="9"/>
  <c r="BK26" i="18" l="1"/>
  <c r="BJ27" i="18"/>
  <c r="BJ19" i="18"/>
  <c r="AH45" i="18"/>
  <c r="J4" i="10"/>
  <c r="J4" i="12"/>
  <c r="J4" i="13"/>
  <c r="K5" i="13"/>
  <c r="J4" i="7"/>
  <c r="J4" i="9"/>
  <c r="K5" i="10"/>
  <c r="K5" i="9"/>
  <c r="K4" i="5"/>
  <c r="J6" i="5"/>
  <c r="H6" i="5"/>
  <c r="F29" i="5" l="1"/>
  <c r="G5" i="7"/>
  <c r="H5" i="5"/>
  <c r="L6" i="5"/>
  <c r="G4" i="13" l="1"/>
  <c r="G4" i="12"/>
  <c r="G4" i="10"/>
  <c r="G4" i="9"/>
  <c r="I5" i="7"/>
  <c r="J5" i="5"/>
  <c r="G4" i="7"/>
  <c r="H4" i="5"/>
  <c r="C123" i="9"/>
  <c r="E32" i="6" s="1"/>
  <c r="F32" i="6" s="1"/>
  <c r="G32" i="6" s="1"/>
  <c r="H32" i="6" s="1"/>
  <c r="I32" i="6" s="1"/>
  <c r="J32" i="6" s="1"/>
  <c r="K32" i="6" s="1"/>
  <c r="D123" i="9"/>
  <c r="C122" i="9"/>
  <c r="I4" i="13" l="1"/>
  <c r="I4" i="12"/>
  <c r="I4" i="10"/>
  <c r="I4" i="9"/>
  <c r="I4" i="7"/>
  <c r="J4" i="5"/>
  <c r="K5" i="7"/>
  <c r="L5" i="5"/>
  <c r="K4" i="13" l="1"/>
  <c r="K4" i="12"/>
  <c r="K4" i="10"/>
  <c r="K4" i="9"/>
  <c r="K4" i="7"/>
  <c r="L4" i="5"/>
  <c r="F9" i="5" l="1"/>
  <c r="F18" i="5"/>
  <c r="C103" i="7"/>
  <c r="E31" i="6" s="1"/>
  <c r="E30" i="6" l="1"/>
  <c r="F31" i="6"/>
  <c r="F11" i="5"/>
  <c r="G31" i="6" l="1"/>
  <c r="F30" i="6"/>
  <c r="F21" i="5"/>
  <c r="F22" i="5"/>
  <c r="F20" i="5"/>
  <c r="F19" i="5"/>
  <c r="F10" i="5"/>
  <c r="F23" i="5"/>
  <c r="F12" i="5"/>
  <c r="H31" i="6" l="1"/>
  <c r="G30" i="6"/>
  <c r="H4" i="14"/>
  <c r="L17" i="14" s="1"/>
  <c r="D10" i="6"/>
  <c r="D11" i="6"/>
  <c r="D16" i="6"/>
  <c r="D17" i="6"/>
  <c r="D46" i="6"/>
  <c r="W3" i="18" s="1"/>
  <c r="D48" i="6"/>
  <c r="W4" i="18" s="1"/>
  <c r="D49" i="6"/>
  <c r="W5" i="18" s="1"/>
  <c r="D50" i="6"/>
  <c r="W6" i="18" s="1"/>
  <c r="I31" i="6" l="1"/>
  <c r="H30" i="6"/>
  <c r="E11" i="6"/>
  <c r="W1" i="18"/>
  <c r="D58" i="6"/>
  <c r="D59" i="6"/>
  <c r="D57" i="6"/>
  <c r="E13" i="22"/>
  <c r="D67" i="6"/>
  <c r="H3" i="14" s="1"/>
  <c r="L16" i="14" s="1"/>
  <c r="D98" i="6"/>
  <c r="E115" i="6" s="1"/>
  <c r="D13" i="6"/>
  <c r="D19" i="6"/>
  <c r="D72" i="6"/>
  <c r="D15" i="6"/>
  <c r="D45" i="6"/>
  <c r="W2" i="18" s="1"/>
  <c r="D52" i="6"/>
  <c r="W7" i="18" s="1"/>
  <c r="W9" i="18" s="1"/>
  <c r="D14" i="6"/>
  <c r="X1" i="18" l="1"/>
  <c r="E13" i="6"/>
  <c r="J31" i="6"/>
  <c r="I30" i="6"/>
  <c r="E4" i="13"/>
  <c r="E4" i="9"/>
  <c r="E121" i="9" s="1"/>
  <c r="E15" i="6"/>
  <c r="F121" i="6" s="1"/>
  <c r="F4" i="5"/>
  <c r="F28" i="5" s="1"/>
  <c r="E67" i="6"/>
  <c r="E4" i="7"/>
  <c r="E4" i="12"/>
  <c r="E182" i="12" s="1"/>
  <c r="F119" i="6"/>
  <c r="E4" i="10"/>
  <c r="E32" i="10" s="1"/>
  <c r="E71" i="6"/>
  <c r="J7" i="14" s="1"/>
  <c r="M20" i="14" s="1"/>
  <c r="E14" i="6"/>
  <c r="F120" i="6" s="1"/>
  <c r="E6" i="22"/>
  <c r="C6" i="22" s="1"/>
  <c r="AF1" i="18"/>
  <c r="F10" i="6"/>
  <c r="E72" i="6"/>
  <c r="J8" i="14" s="1"/>
  <c r="M21" i="14" s="1"/>
  <c r="E98" i="6"/>
  <c r="E17" i="22"/>
  <c r="J3" i="14"/>
  <c r="M16" i="14" s="1"/>
  <c r="F13" i="22"/>
  <c r="E57" i="6"/>
  <c r="P3" i="19" s="1"/>
  <c r="E70" i="6"/>
  <c r="E69" i="6"/>
  <c r="D69" i="6"/>
  <c r="D53" i="6"/>
  <c r="W8" i="18" s="1"/>
  <c r="D73" i="6"/>
  <c r="K31" i="6" l="1"/>
  <c r="K30" i="6" s="1"/>
  <c r="J30" i="6"/>
  <c r="G3" i="5"/>
  <c r="G10" i="6"/>
  <c r="E107" i="9"/>
  <c r="E103" i="9"/>
  <c r="E110" i="9"/>
  <c r="E114" i="9"/>
  <c r="E32" i="9"/>
  <c r="E116" i="9"/>
  <c r="E113" i="9"/>
  <c r="E101" i="9"/>
  <c r="E118" i="9"/>
  <c r="E106" i="9"/>
  <c r="E109" i="9"/>
  <c r="E119" i="9"/>
  <c r="E111" i="9"/>
  <c r="E120" i="9"/>
  <c r="E105" i="9"/>
  <c r="E117" i="9"/>
  <c r="E104" i="9"/>
  <c r="E112" i="9"/>
  <c r="E115" i="9"/>
  <c r="E108" i="9"/>
  <c r="F27" i="5"/>
  <c r="G28" i="5"/>
  <c r="E161" i="12"/>
  <c r="E122" i="12"/>
  <c r="E168" i="12"/>
  <c r="E117" i="12"/>
  <c r="E127" i="12"/>
  <c r="E186" i="12"/>
  <c r="E141" i="12"/>
  <c r="E119" i="12"/>
  <c r="E121" i="12"/>
  <c r="E180" i="12"/>
  <c r="E166" i="12"/>
  <c r="E113" i="12"/>
  <c r="E130" i="12"/>
  <c r="E171" i="12"/>
  <c r="E151" i="12"/>
  <c r="E136" i="12"/>
  <c r="E139" i="12"/>
  <c r="E150" i="12"/>
  <c r="E143" i="12"/>
  <c r="E162" i="12"/>
  <c r="E187" i="12"/>
  <c r="E165" i="12"/>
  <c r="E147" i="12"/>
  <c r="E185" i="12"/>
  <c r="E138" i="12"/>
  <c r="E173" i="12"/>
  <c r="E152" i="12"/>
  <c r="E145" i="12"/>
  <c r="E188" i="12"/>
  <c r="E160" i="12"/>
  <c r="E123" i="12"/>
  <c r="E163" i="12"/>
  <c r="E137" i="12"/>
  <c r="E167" i="12"/>
  <c r="E157" i="12"/>
  <c r="E142" i="12"/>
  <c r="E183" i="12"/>
  <c r="E149" i="12"/>
  <c r="E172" i="12"/>
  <c r="E133" i="12"/>
  <c r="E155" i="12"/>
  <c r="E129" i="12"/>
  <c r="E126" i="12"/>
  <c r="E156" i="12"/>
  <c r="E176" i="12"/>
  <c r="E181" i="12"/>
  <c r="E140" i="12"/>
  <c r="E148" i="12"/>
  <c r="E184" i="12"/>
  <c r="E134" i="12"/>
  <c r="E118" i="12"/>
  <c r="E144" i="12"/>
  <c r="E158" i="12"/>
  <c r="E164" i="12"/>
  <c r="E178" i="12"/>
  <c r="E128" i="12"/>
  <c r="E125" i="12"/>
  <c r="E154" i="12"/>
  <c r="E120" i="12"/>
  <c r="E132" i="12"/>
  <c r="E179" i="12"/>
  <c r="E169" i="12"/>
  <c r="E131" i="12"/>
  <c r="E174" i="12"/>
  <c r="E146" i="12"/>
  <c r="E124" i="12"/>
  <c r="E177" i="12"/>
  <c r="E170" i="12"/>
  <c r="E175" i="12"/>
  <c r="E159" i="12"/>
  <c r="E153" i="12"/>
  <c r="E135" i="12"/>
  <c r="E21" i="22"/>
  <c r="AJ1" i="18"/>
  <c r="G35" i="5"/>
  <c r="G51" i="5"/>
  <c r="G67" i="5"/>
  <c r="G83" i="5"/>
  <c r="G99" i="5"/>
  <c r="G115" i="5"/>
  <c r="G131" i="5"/>
  <c r="G46" i="5"/>
  <c r="G68" i="5"/>
  <c r="G89" i="5"/>
  <c r="G110" i="5"/>
  <c r="G132" i="5"/>
  <c r="G148" i="5"/>
  <c r="G164" i="5"/>
  <c r="G48" i="5"/>
  <c r="G90" i="5"/>
  <c r="G49" i="5"/>
  <c r="G70" i="5"/>
  <c r="G92" i="5"/>
  <c r="G113" i="5"/>
  <c r="G134" i="5"/>
  <c r="G150" i="5"/>
  <c r="G166" i="5"/>
  <c r="G34" i="5"/>
  <c r="G56" i="5"/>
  <c r="G77" i="5"/>
  <c r="G98" i="5"/>
  <c r="G120" i="5"/>
  <c r="G139" i="5"/>
  <c r="G155" i="5"/>
  <c r="G171" i="5"/>
  <c r="G64" i="5"/>
  <c r="G101" i="5"/>
  <c r="G173" i="5"/>
  <c r="G161" i="5"/>
  <c r="G165" i="5"/>
  <c r="G117" i="5"/>
  <c r="G27" i="5"/>
  <c r="G59" i="5"/>
  <c r="G91" i="5"/>
  <c r="G36" i="5"/>
  <c r="G78" i="5"/>
  <c r="G140" i="5"/>
  <c r="G172" i="5"/>
  <c r="G38" i="5"/>
  <c r="G102" i="5"/>
  <c r="G158" i="5"/>
  <c r="G66" i="5"/>
  <c r="G88" i="5"/>
  <c r="G130" i="5"/>
  <c r="G85" i="5"/>
  <c r="G141" i="5"/>
  <c r="G39" i="5"/>
  <c r="G55" i="5"/>
  <c r="G71" i="5"/>
  <c r="G87" i="5"/>
  <c r="G103" i="5"/>
  <c r="G119" i="5"/>
  <c r="G30" i="5"/>
  <c r="G52" i="5"/>
  <c r="G73" i="5"/>
  <c r="G94" i="5"/>
  <c r="G116" i="5"/>
  <c r="G136" i="5"/>
  <c r="G152" i="5"/>
  <c r="G168" i="5"/>
  <c r="G53" i="5"/>
  <c r="G33" i="5"/>
  <c r="G54" i="5"/>
  <c r="G76" i="5"/>
  <c r="G97" i="5"/>
  <c r="G118" i="5"/>
  <c r="G138" i="5"/>
  <c r="G154" i="5"/>
  <c r="G170" i="5"/>
  <c r="G40" i="5"/>
  <c r="G61" i="5"/>
  <c r="G82" i="5"/>
  <c r="G104" i="5"/>
  <c r="G125" i="5"/>
  <c r="G143" i="5"/>
  <c r="G159" i="5"/>
  <c r="G37" i="5"/>
  <c r="G74" i="5"/>
  <c r="G122" i="5"/>
  <c r="G106" i="5"/>
  <c r="G112" i="5"/>
  <c r="G137" i="5"/>
  <c r="G57" i="5"/>
  <c r="G121" i="5"/>
  <c r="G69" i="5"/>
  <c r="G81" i="5"/>
  <c r="G142" i="5"/>
  <c r="G45" i="5"/>
  <c r="G109" i="5"/>
  <c r="G147" i="5"/>
  <c r="G42" i="5"/>
  <c r="G128" i="5"/>
  <c r="G153" i="5"/>
  <c r="G31" i="5"/>
  <c r="G47" i="5"/>
  <c r="G63" i="5"/>
  <c r="G79" i="5"/>
  <c r="G95" i="5"/>
  <c r="G111" i="5"/>
  <c r="G127" i="5"/>
  <c r="G41" i="5"/>
  <c r="G62" i="5"/>
  <c r="G84" i="5"/>
  <c r="G105" i="5"/>
  <c r="G126" i="5"/>
  <c r="G144" i="5"/>
  <c r="G160" i="5"/>
  <c r="G32" i="5"/>
  <c r="G80" i="5"/>
  <c r="G44" i="5"/>
  <c r="G65" i="5"/>
  <c r="G86" i="5"/>
  <c r="G108" i="5"/>
  <c r="G129" i="5"/>
  <c r="G146" i="5"/>
  <c r="G162" i="5"/>
  <c r="G29" i="5"/>
  <c r="G50" i="5"/>
  <c r="G72" i="5"/>
  <c r="G93" i="5"/>
  <c r="G114" i="5"/>
  <c r="G135" i="5"/>
  <c r="G151" i="5"/>
  <c r="G167" i="5"/>
  <c r="G58" i="5"/>
  <c r="G96" i="5"/>
  <c r="G157" i="5"/>
  <c r="G145" i="5"/>
  <c r="G149" i="5"/>
  <c r="G169" i="5"/>
  <c r="G43" i="5"/>
  <c r="G75" i="5"/>
  <c r="G107" i="5"/>
  <c r="G123" i="5"/>
  <c r="G100" i="5"/>
  <c r="G156" i="5"/>
  <c r="G60" i="5"/>
  <c r="G124" i="5"/>
  <c r="G174" i="5"/>
  <c r="G163" i="5"/>
  <c r="G133" i="5"/>
  <c r="E19" i="22"/>
  <c r="J5" i="14"/>
  <c r="M18" i="14" s="1"/>
  <c r="E20" i="22"/>
  <c r="J6" i="14"/>
  <c r="M19" i="14" s="1"/>
  <c r="AP4" i="18"/>
  <c r="F57" i="6"/>
  <c r="Q3" i="19" s="1"/>
  <c r="H5" i="14"/>
  <c r="L18" i="14" s="1"/>
  <c r="C15" i="14"/>
  <c r="G7" i="5" l="1"/>
  <c r="G176" i="5" s="1"/>
  <c r="F21" i="6" s="1"/>
  <c r="G175" i="5"/>
  <c r="AQ23" i="18"/>
  <c r="AR23" i="18" s="1"/>
  <c r="AR22" i="18" s="1"/>
  <c r="AQ27" i="18"/>
  <c r="AR27" i="18" s="1"/>
  <c r="H48" i="6"/>
  <c r="I48" i="6" s="1"/>
  <c r="J48" i="6" s="1"/>
  <c r="K48" i="6" s="1"/>
  <c r="G13" i="22"/>
  <c r="G47" i="6"/>
  <c r="G57" i="6"/>
  <c r="U3" i="19" s="1"/>
  <c r="S11" i="19" s="1"/>
  <c r="F58" i="6"/>
  <c r="Q4" i="19" s="1"/>
  <c r="F52" i="6"/>
  <c r="F59" i="6"/>
  <c r="Q5" i="19" s="1"/>
  <c r="M15" i="14"/>
  <c r="M11" i="14" s="1"/>
  <c r="D70" i="6"/>
  <c r="F37" i="6" l="1"/>
  <c r="AT4" i="18"/>
  <c r="AT23" i="18" s="1"/>
  <c r="AU23" i="18" s="1"/>
  <c r="AJ7" i="18"/>
  <c r="AJ9" i="18" s="1"/>
  <c r="AQ21" i="18" s="1"/>
  <c r="AR21" i="18" s="1"/>
  <c r="G52" i="6"/>
  <c r="AP7" i="18" s="1"/>
  <c r="H13" i="22"/>
  <c r="H47" i="6"/>
  <c r="H57" i="6"/>
  <c r="V3" i="19" s="1"/>
  <c r="G58" i="6"/>
  <c r="U4" i="19" s="1"/>
  <c r="S12" i="19" s="1"/>
  <c r="G59" i="6"/>
  <c r="U5" i="19" s="1"/>
  <c r="S13" i="19" s="1"/>
  <c r="E74" i="6"/>
  <c r="E83" i="6" s="1"/>
  <c r="D71" i="6"/>
  <c r="H6" i="14"/>
  <c r="L19" i="14" s="1"/>
  <c r="H8" i="14"/>
  <c r="L21" i="14" s="1"/>
  <c r="AJ35" i="18" l="1"/>
  <c r="AK35" i="18" s="1"/>
  <c r="AQ39" i="18"/>
  <c r="AR39" i="18" s="1"/>
  <c r="AQ35" i="18"/>
  <c r="AR35" i="18" s="1"/>
  <c r="AU22" i="18"/>
  <c r="AJ37" i="18"/>
  <c r="AP9" i="18"/>
  <c r="AZ4" i="18"/>
  <c r="BA23" i="18" s="1"/>
  <c r="BB23" i="18" s="1"/>
  <c r="BB22" i="18" s="1"/>
  <c r="BB18" i="18" s="1"/>
  <c r="I13" i="22"/>
  <c r="H58" i="6"/>
  <c r="V4" i="19" s="1"/>
  <c r="H59" i="6"/>
  <c r="V5" i="19" s="1"/>
  <c r="H52" i="6"/>
  <c r="AT7" i="18" s="1"/>
  <c r="I47" i="6"/>
  <c r="I57" i="6"/>
  <c r="Z3" i="19" s="1"/>
  <c r="X11" i="19" s="1"/>
  <c r="H7" i="14"/>
  <c r="L20" i="14" s="1"/>
  <c r="B96" i="10"/>
  <c r="J5" i="19"/>
  <c r="J13" i="19" s="1"/>
  <c r="G4" i="19"/>
  <c r="G12" i="19" s="1"/>
  <c r="G5" i="19"/>
  <c r="G13" i="19" s="1"/>
  <c r="G3" i="19"/>
  <c r="G11" i="19" s="1"/>
  <c r="F13" i="19"/>
  <c r="E13" i="19"/>
  <c r="F12" i="19"/>
  <c r="E12" i="19"/>
  <c r="F11" i="19"/>
  <c r="E11" i="19"/>
  <c r="I3" i="17"/>
  <c r="E14" i="17" s="1"/>
  <c r="AQ28" i="17"/>
  <c r="AJ28" i="17"/>
  <c r="AC28" i="17"/>
  <c r="V28" i="17"/>
  <c r="O28" i="17"/>
  <c r="H28" i="17"/>
  <c r="AP25" i="17"/>
  <c r="G25" i="17"/>
  <c r="AS24" i="17"/>
  <c r="AL24" i="17"/>
  <c r="AE24" i="17"/>
  <c r="X24" i="17"/>
  <c r="Q24" i="17"/>
  <c r="AS23" i="17"/>
  <c r="AL23" i="17"/>
  <c r="AE23" i="17"/>
  <c r="X23" i="17"/>
  <c r="Q23" i="17"/>
  <c r="J23" i="17"/>
  <c r="AS22" i="17"/>
  <c r="AL22" i="17"/>
  <c r="AE22" i="17"/>
  <c r="X22" i="17"/>
  <c r="Q22" i="17"/>
  <c r="J22" i="17"/>
  <c r="AS21" i="17"/>
  <c r="AL21" i="17"/>
  <c r="AE21" i="17"/>
  <c r="X21" i="17"/>
  <c r="Q21" i="17"/>
  <c r="J21" i="17"/>
  <c r="AS20" i="17"/>
  <c r="AL20" i="17"/>
  <c r="AE20" i="17"/>
  <c r="X20" i="17"/>
  <c r="Q20" i="17"/>
  <c r="J20" i="17"/>
  <c r="AS19" i="17"/>
  <c r="AL19" i="17"/>
  <c r="AE19" i="17"/>
  <c r="X19" i="17"/>
  <c r="Q19" i="17"/>
  <c r="J19" i="17"/>
  <c r="AS18" i="17"/>
  <c r="AL18" i="17"/>
  <c r="AE18" i="17"/>
  <c r="X18" i="17"/>
  <c r="Q18" i="17"/>
  <c r="J18" i="17"/>
  <c r="AS17" i="17"/>
  <c r="AL17" i="17"/>
  <c r="AE17" i="17"/>
  <c r="X17" i="17"/>
  <c r="Q17" i="17"/>
  <c r="J17" i="17"/>
  <c r="AP16" i="17"/>
  <c r="G16" i="17"/>
  <c r="AP15" i="17"/>
  <c r="G15" i="17"/>
  <c r="AP14" i="17"/>
  <c r="G14" i="17"/>
  <c r="AS13" i="17"/>
  <c r="AL13" i="17"/>
  <c r="AE13" i="17"/>
  <c r="X13" i="17"/>
  <c r="Q13" i="17"/>
  <c r="AS12" i="17"/>
  <c r="AL12" i="17"/>
  <c r="AE12" i="17"/>
  <c r="X12" i="17"/>
  <c r="Q12" i="17"/>
  <c r="AS11" i="17"/>
  <c r="AL11" i="17"/>
  <c r="AE11" i="17"/>
  <c r="X11" i="17"/>
  <c r="Q11" i="17"/>
  <c r="AS10" i="17"/>
  <c r="AL10" i="17"/>
  <c r="AE10" i="17"/>
  <c r="X10" i="17"/>
  <c r="Q10" i="17"/>
  <c r="AS9" i="17"/>
  <c r="AL9" i="17"/>
  <c r="AE9" i="17"/>
  <c r="X9" i="17"/>
  <c r="Q9" i="17"/>
  <c r="C13" i="6"/>
  <c r="C71" i="6"/>
  <c r="C69" i="6"/>
  <c r="C68" i="6"/>
  <c r="P4" i="17"/>
  <c r="N14" i="17" s="1"/>
  <c r="P3" i="17"/>
  <c r="L25" i="17" s="1"/>
  <c r="C45" i="6"/>
  <c r="P2" i="18" s="1"/>
  <c r="B15" i="14"/>
  <c r="G8" i="14"/>
  <c r="K21" i="14" s="1"/>
  <c r="C67" i="6"/>
  <c r="B40" i="12"/>
  <c r="B47" i="12" s="1"/>
  <c r="B39" i="12"/>
  <c r="B38" i="12"/>
  <c r="B37" i="12"/>
  <c r="B36" i="12"/>
  <c r="B35" i="12"/>
  <c r="B30" i="12"/>
  <c r="B31" i="12"/>
  <c r="B32" i="12"/>
  <c r="B33" i="12"/>
  <c r="B34" i="12"/>
  <c r="C15" i="6"/>
  <c r="C14" i="6"/>
  <c r="B41" i="10"/>
  <c r="B40" i="10"/>
  <c r="B39" i="10"/>
  <c r="B38" i="10"/>
  <c r="B37" i="10"/>
  <c r="B36" i="10"/>
  <c r="B35" i="10"/>
  <c r="B34" i="10"/>
  <c r="B33" i="10"/>
  <c r="B31" i="10"/>
  <c r="B102" i="9"/>
  <c r="B41" i="9"/>
  <c r="B40" i="9"/>
  <c r="B39" i="9"/>
  <c r="B38" i="9"/>
  <c r="B37" i="9"/>
  <c r="B36" i="9"/>
  <c r="B35" i="9"/>
  <c r="B34" i="9"/>
  <c r="B33" i="9"/>
  <c r="B31" i="9"/>
  <c r="B31" i="7"/>
  <c r="B33" i="7"/>
  <c r="B34" i="7"/>
  <c r="B35" i="7"/>
  <c r="B36" i="7"/>
  <c r="B37" i="7"/>
  <c r="B38" i="7"/>
  <c r="B39" i="7"/>
  <c r="B40" i="7"/>
  <c r="B41" i="7"/>
  <c r="C12" i="3"/>
  <c r="N13" i="19"/>
  <c r="S16" i="17"/>
  <c r="H9" i="14"/>
  <c r="L22" i="14" s="1"/>
  <c r="N11" i="19"/>
  <c r="J3" i="19"/>
  <c r="J11" i="19" s="1"/>
  <c r="B48" i="12"/>
  <c r="B70" i="12"/>
  <c r="B45" i="12"/>
  <c r="B67" i="12"/>
  <c r="B42" i="12"/>
  <c r="B57" i="12"/>
  <c r="J4" i="19"/>
  <c r="J12" i="19" s="1"/>
  <c r="N12" i="19"/>
  <c r="B52" i="12" l="1"/>
  <c r="B44" i="12"/>
  <c r="B41" i="12"/>
  <c r="B69" i="12"/>
  <c r="B49" i="12"/>
  <c r="B62" i="12"/>
  <c r="E10" i="19"/>
  <c r="D10" i="19" s="1"/>
  <c r="AJ41" i="18"/>
  <c r="AK41" i="18" s="1"/>
  <c r="AK37" i="18"/>
  <c r="AJ39" i="18"/>
  <c r="AK39" i="18" s="1"/>
  <c r="AQ37" i="18"/>
  <c r="AR37" i="18" s="1"/>
  <c r="AQ41" i="18"/>
  <c r="AR41" i="18" s="1"/>
  <c r="AT22" i="18"/>
  <c r="L17" i="18"/>
  <c r="Q17" i="18" s="1"/>
  <c r="P17" i="18" s="1"/>
  <c r="L32" i="18"/>
  <c r="Q32" i="18" s="1"/>
  <c r="L41" i="18"/>
  <c r="Q41" i="18" s="1"/>
  <c r="P41" i="18" s="1"/>
  <c r="L33" i="18"/>
  <c r="Q33" i="18" s="1"/>
  <c r="L39" i="18"/>
  <c r="Q39" i="18" s="1"/>
  <c r="L18" i="18"/>
  <c r="L21" i="18"/>
  <c r="Q21" i="18" s="1"/>
  <c r="L16" i="18"/>
  <c r="Q16" i="18" s="1"/>
  <c r="L31" i="18"/>
  <c r="Q31" i="18" s="1"/>
  <c r="L27" i="18"/>
  <c r="Q27" i="18" s="1"/>
  <c r="L20" i="18"/>
  <c r="Q20" i="18" s="1"/>
  <c r="L28" i="18"/>
  <c r="Q28" i="18" s="1"/>
  <c r="P28" i="18" s="1"/>
  <c r="L19" i="18"/>
  <c r="Q19" i="18" s="1"/>
  <c r="L29" i="18"/>
  <c r="Q29" i="18" s="1"/>
  <c r="P29" i="18" s="1"/>
  <c r="AT9" i="18"/>
  <c r="AT37" i="18" s="1"/>
  <c r="AU37" i="18" s="1"/>
  <c r="AT35" i="18"/>
  <c r="AU35" i="18" s="1"/>
  <c r="BA18" i="18"/>
  <c r="BI4" i="18"/>
  <c r="BJ23" i="18" s="1"/>
  <c r="BK23" i="18" s="1"/>
  <c r="BK22" i="18" s="1"/>
  <c r="BK18" i="18" s="1"/>
  <c r="BC4" i="18"/>
  <c r="J13" i="22"/>
  <c r="AZ7" i="18"/>
  <c r="BA33" i="18" s="1"/>
  <c r="BB33" i="18" s="1"/>
  <c r="I59" i="6"/>
  <c r="Z5" i="19" s="1"/>
  <c r="X13" i="19" s="1"/>
  <c r="I58" i="6"/>
  <c r="Z4" i="19" s="1"/>
  <c r="X12" i="19" s="1"/>
  <c r="J47" i="6"/>
  <c r="J57" i="6"/>
  <c r="AA3" i="19" s="1"/>
  <c r="F10" i="19"/>
  <c r="K13" i="19"/>
  <c r="J26" i="17"/>
  <c r="I26" i="17" s="1"/>
  <c r="C70" i="6"/>
  <c r="G7" i="14"/>
  <c r="K20" i="14" s="1"/>
  <c r="P13" i="19"/>
  <c r="G4" i="14"/>
  <c r="K17" i="14" s="1"/>
  <c r="K12" i="19"/>
  <c r="H12" i="19"/>
  <c r="B63" i="12"/>
  <c r="E63" i="12" s="1"/>
  <c r="B43" i="12"/>
  <c r="E44" i="12"/>
  <c r="E37" i="7"/>
  <c r="E30" i="12"/>
  <c r="E42" i="12"/>
  <c r="E67" i="12"/>
  <c r="E49" i="12"/>
  <c r="E41" i="12"/>
  <c r="E40" i="7"/>
  <c r="E36" i="7"/>
  <c r="E33" i="12"/>
  <c r="E35" i="12"/>
  <c r="E39" i="12"/>
  <c r="E57" i="12"/>
  <c r="E48" i="12"/>
  <c r="E41" i="7"/>
  <c r="E52" i="12"/>
  <c r="E45" i="12"/>
  <c r="B102" i="12"/>
  <c r="E70" i="12"/>
  <c r="E62" i="12"/>
  <c r="E114" i="12"/>
  <c r="E39" i="7"/>
  <c r="E35" i="7"/>
  <c r="E32" i="12"/>
  <c r="E36" i="12"/>
  <c r="E40" i="12"/>
  <c r="E69" i="12"/>
  <c r="E33" i="7"/>
  <c r="E102" i="9"/>
  <c r="E34" i="12"/>
  <c r="E38" i="12"/>
  <c r="E47" i="12"/>
  <c r="E38" i="7"/>
  <c r="E34" i="7"/>
  <c r="E31" i="12"/>
  <c r="E37" i="12"/>
  <c r="E35" i="10"/>
  <c r="E39" i="10"/>
  <c r="E31" i="10"/>
  <c r="E36" i="10"/>
  <c r="E40" i="10"/>
  <c r="E96" i="10"/>
  <c r="B97" i="10"/>
  <c r="E33" i="10"/>
  <c r="E37" i="10"/>
  <c r="E41" i="10"/>
  <c r="E34" i="10"/>
  <c r="E38" i="10"/>
  <c r="E31" i="9"/>
  <c r="E31" i="7"/>
  <c r="G3" i="14"/>
  <c r="K16" i="14" s="1"/>
  <c r="E36" i="9"/>
  <c r="E33" i="9"/>
  <c r="E37" i="9"/>
  <c r="E41" i="9"/>
  <c r="E34" i="9"/>
  <c r="E38" i="9"/>
  <c r="E40" i="9"/>
  <c r="E35" i="9"/>
  <c r="E39" i="9"/>
  <c r="B42" i="7"/>
  <c r="H13" i="19"/>
  <c r="N16" i="17"/>
  <c r="G5" i="14"/>
  <c r="K18" i="14" s="1"/>
  <c r="E25" i="17"/>
  <c r="E16" i="17"/>
  <c r="E15" i="17"/>
  <c r="B103" i="12"/>
  <c r="B84" i="12"/>
  <c r="B101" i="12"/>
  <c r="B42" i="10"/>
  <c r="B78" i="12"/>
  <c r="B85" i="12"/>
  <c r="B91" i="12"/>
  <c r="B77" i="12"/>
  <c r="B53" i="12"/>
  <c r="B51" i="12"/>
  <c r="B54" i="12"/>
  <c r="B58" i="12"/>
  <c r="B64" i="12"/>
  <c r="B66" i="12"/>
  <c r="B68" i="12"/>
  <c r="B55" i="12"/>
  <c r="B56" i="12"/>
  <c r="B61" i="12"/>
  <c r="B46" i="12"/>
  <c r="B59" i="12"/>
  <c r="B60" i="12"/>
  <c r="B65" i="12"/>
  <c r="B50" i="12"/>
  <c r="B42" i="9"/>
  <c r="N15" i="17"/>
  <c r="N25" i="17"/>
  <c r="Q25" i="17" s="1"/>
  <c r="P25" i="17" s="1"/>
  <c r="G9" i="14"/>
  <c r="K22" i="14" s="1"/>
  <c r="S15" i="17"/>
  <c r="AB16" i="17"/>
  <c r="S25" i="17"/>
  <c r="S14" i="17"/>
  <c r="B90" i="12"/>
  <c r="B79" i="12"/>
  <c r="B99" i="12"/>
  <c r="B93" i="12"/>
  <c r="B81" i="12"/>
  <c r="B86" i="12"/>
  <c r="B74" i="12"/>
  <c r="B100" i="12"/>
  <c r="B73" i="12"/>
  <c r="B83" i="12"/>
  <c r="B87" i="12"/>
  <c r="B95" i="12"/>
  <c r="B94" i="12"/>
  <c r="B76" i="12"/>
  <c r="B97" i="12"/>
  <c r="B104" i="12"/>
  <c r="B88" i="12"/>
  <c r="B75" i="12"/>
  <c r="B71" i="12"/>
  <c r="B89" i="12"/>
  <c r="B72" i="12"/>
  <c r="B98" i="12"/>
  <c r="B80" i="12"/>
  <c r="B92" i="12"/>
  <c r="B96" i="12"/>
  <c r="B82" i="12"/>
  <c r="L15" i="17"/>
  <c r="L16" i="17"/>
  <c r="L14" i="17"/>
  <c r="Q14" i="17" s="1"/>
  <c r="P14" i="17" s="1"/>
  <c r="H11" i="19"/>
  <c r="BC23" i="18" l="1"/>
  <c r="BD23" i="18" s="1"/>
  <c r="BD22" i="18" s="1"/>
  <c r="BC22" i="18" s="1"/>
  <c r="BC27" i="18"/>
  <c r="BD27" i="18" s="1"/>
  <c r="BD26" i="18" s="1"/>
  <c r="P27" i="18"/>
  <c r="Q26" i="18"/>
  <c r="Q18" i="18" s="1"/>
  <c r="P18" i="18" s="1"/>
  <c r="Q38" i="18"/>
  <c r="Q30" i="18" s="1"/>
  <c r="P39" i="18"/>
  <c r="AT39" i="18"/>
  <c r="AU39" i="18" s="1"/>
  <c r="BA35" i="18"/>
  <c r="AZ9" i="18"/>
  <c r="BA37" i="18" s="1"/>
  <c r="K13" i="22"/>
  <c r="AT41" i="18"/>
  <c r="AU41" i="18" s="1"/>
  <c r="BJ18" i="18"/>
  <c r="J58" i="6"/>
  <c r="AA4" i="19" s="1"/>
  <c r="I10" i="19"/>
  <c r="J59" i="6"/>
  <c r="AA5" i="19" s="1"/>
  <c r="BC7" i="18"/>
  <c r="K47" i="6"/>
  <c r="K57" i="6"/>
  <c r="M10" i="19"/>
  <c r="Q11" i="19"/>
  <c r="Q12" i="19"/>
  <c r="P12" i="19"/>
  <c r="G6" i="14"/>
  <c r="K19" i="14" s="1"/>
  <c r="K15" i="14" s="1"/>
  <c r="Q13" i="19"/>
  <c r="E43" i="12"/>
  <c r="P11" i="19"/>
  <c r="H10" i="19"/>
  <c r="G10" i="19" s="1"/>
  <c r="K11" i="19"/>
  <c r="K10" i="19" s="1"/>
  <c r="K15" i="19" s="1"/>
  <c r="B43" i="7"/>
  <c r="E14" i="7"/>
  <c r="E105" i="12"/>
  <c r="E81" i="12"/>
  <c r="E50" i="12"/>
  <c r="E102" i="12"/>
  <c r="E80" i="12"/>
  <c r="E71" i="12"/>
  <c r="E104" i="12"/>
  <c r="E95" i="12"/>
  <c r="E100" i="12"/>
  <c r="E93" i="12"/>
  <c r="E65" i="12"/>
  <c r="E61" i="12"/>
  <c r="E66" i="12"/>
  <c r="E51" i="12"/>
  <c r="E91" i="12"/>
  <c r="E101" i="12"/>
  <c r="E92" i="12"/>
  <c r="E94" i="12"/>
  <c r="E90" i="12"/>
  <c r="E68" i="12"/>
  <c r="E77" i="12"/>
  <c r="E82" i="12"/>
  <c r="E98" i="12"/>
  <c r="E75" i="12"/>
  <c r="E97" i="12"/>
  <c r="E87" i="12"/>
  <c r="E74" i="12"/>
  <c r="E99" i="12"/>
  <c r="E60" i="12"/>
  <c r="E56" i="12"/>
  <c r="E64" i="12"/>
  <c r="E53" i="12"/>
  <c r="E85" i="12"/>
  <c r="E84" i="12"/>
  <c r="E89" i="12"/>
  <c r="E73" i="12"/>
  <c r="E46" i="12"/>
  <c r="E54" i="12"/>
  <c r="E96" i="12"/>
  <c r="E72" i="12"/>
  <c r="E88" i="12"/>
  <c r="E76" i="12"/>
  <c r="E83" i="12"/>
  <c r="E86" i="12"/>
  <c r="E79" i="12"/>
  <c r="E115" i="12"/>
  <c r="E59" i="12"/>
  <c r="E55" i="12"/>
  <c r="E58" i="12"/>
  <c r="E78" i="12"/>
  <c r="E42" i="10"/>
  <c r="E103" i="12"/>
  <c r="E22" i="7"/>
  <c r="E22" i="10"/>
  <c r="E14" i="10"/>
  <c r="E97" i="10"/>
  <c r="E42" i="7"/>
  <c r="E13" i="12"/>
  <c r="E21" i="12"/>
  <c r="E42" i="9"/>
  <c r="E14" i="9"/>
  <c r="E22" i="9"/>
  <c r="Q16" i="17"/>
  <c r="P16" i="17" s="1"/>
  <c r="H19" i="5"/>
  <c r="H10" i="5"/>
  <c r="AB14" i="17"/>
  <c r="AG14" i="17"/>
  <c r="Q15" i="17"/>
  <c r="B43" i="10"/>
  <c r="B43" i="9"/>
  <c r="U25" i="17"/>
  <c r="X25" i="17" s="1"/>
  <c r="W25" i="17" s="1"/>
  <c r="AD25" i="17" s="1"/>
  <c r="U16" i="17"/>
  <c r="X16" i="17" s="1"/>
  <c r="U14" i="17"/>
  <c r="X14" i="17" s="1"/>
  <c r="U15" i="17"/>
  <c r="X15" i="17" s="1"/>
  <c r="W15" i="17" s="1"/>
  <c r="AB25" i="17"/>
  <c r="AB15" i="17"/>
  <c r="AN16" i="17"/>
  <c r="AS16" i="17" s="1"/>
  <c r="AR16" i="17" s="1"/>
  <c r="AN14" i="17"/>
  <c r="AS14" i="17" s="1"/>
  <c r="AN25" i="17"/>
  <c r="AS25" i="17" s="1"/>
  <c r="AR25" i="17" s="1"/>
  <c r="AN15" i="17"/>
  <c r="AS15" i="17" s="1"/>
  <c r="Z25" i="17"/>
  <c r="Z14" i="17"/>
  <c r="Z15" i="17"/>
  <c r="Z16" i="17"/>
  <c r="AE16" i="17" s="1"/>
  <c r="L15" i="14"/>
  <c r="BD18" i="18" l="1"/>
  <c r="BC18" i="18" s="1"/>
  <c r="Q15" i="18"/>
  <c r="Q42" i="18" s="1"/>
  <c r="BA41" i="18"/>
  <c r="BB41" i="18" s="1"/>
  <c r="BB37" i="18"/>
  <c r="BC9" i="18"/>
  <c r="BC37" i="18" s="1"/>
  <c r="BC35" i="18"/>
  <c r="BA39" i="18"/>
  <c r="BB39" i="18" s="1"/>
  <c r="BB35" i="18"/>
  <c r="B44" i="7"/>
  <c r="J10" i="19"/>
  <c r="K58" i="6"/>
  <c r="AC3" i="19"/>
  <c r="AC11" i="19" s="1"/>
  <c r="K59" i="6"/>
  <c r="BI7" i="18"/>
  <c r="P10" i="19"/>
  <c r="N10" i="19" s="1"/>
  <c r="V13" i="19"/>
  <c r="U13" i="19"/>
  <c r="Q10" i="19"/>
  <c r="V12" i="19"/>
  <c r="U12" i="19"/>
  <c r="R10" i="19"/>
  <c r="V11" i="19"/>
  <c r="U11" i="19"/>
  <c r="Q26" i="17"/>
  <c r="P26" i="17" s="1"/>
  <c r="AS26" i="17"/>
  <c r="AR26" i="17" s="1"/>
  <c r="W16" i="17"/>
  <c r="AD16" i="17" s="1"/>
  <c r="X26" i="17"/>
  <c r="X28" i="17" s="1"/>
  <c r="E65" i="6" s="1"/>
  <c r="F65" i="6" s="1"/>
  <c r="W14" i="17"/>
  <c r="AD14" i="17" s="1"/>
  <c r="E43" i="7"/>
  <c r="K22" i="7"/>
  <c r="E106" i="12"/>
  <c r="E43" i="9"/>
  <c r="E116" i="12"/>
  <c r="E43" i="10"/>
  <c r="K21" i="12"/>
  <c r="K22" i="9"/>
  <c r="E14" i="12"/>
  <c r="G13" i="13"/>
  <c r="E16" i="12"/>
  <c r="E24" i="12"/>
  <c r="E15" i="12"/>
  <c r="E22" i="12"/>
  <c r="E23" i="12"/>
  <c r="I22" i="9"/>
  <c r="G22" i="9"/>
  <c r="AE15" i="17"/>
  <c r="G22" i="7"/>
  <c r="I22" i="7"/>
  <c r="E44" i="7"/>
  <c r="J10" i="5"/>
  <c r="AG16" i="17"/>
  <c r="AG15" i="17"/>
  <c r="AE14" i="17"/>
  <c r="AG25" i="17"/>
  <c r="B44" i="10"/>
  <c r="B45" i="7"/>
  <c r="B44" i="9"/>
  <c r="J28" i="17"/>
  <c r="L19" i="5"/>
  <c r="AE25" i="17"/>
  <c r="AI25" i="17"/>
  <c r="AI16" i="17"/>
  <c r="AI14" i="17"/>
  <c r="AL14" i="17" s="1"/>
  <c r="AI15" i="17"/>
  <c r="AR14" i="17"/>
  <c r="BC41" i="18" l="1"/>
  <c r="BD41" i="18" s="1"/>
  <c r="BD37" i="18"/>
  <c r="BD35" i="18"/>
  <c r="BC39" i="18"/>
  <c r="BD39" i="18" s="1"/>
  <c r="Q44" i="18"/>
  <c r="P42" i="18"/>
  <c r="BI9" i="18"/>
  <c r="BJ37" i="18" s="1"/>
  <c r="BJ35" i="18"/>
  <c r="AC5" i="19"/>
  <c r="AC13" i="19" s="1"/>
  <c r="AC4" i="19"/>
  <c r="AC12" i="19" s="1"/>
  <c r="E60" i="6"/>
  <c r="E81" i="6" s="1"/>
  <c r="V10" i="19"/>
  <c r="T10" i="19" s="1"/>
  <c r="U10" i="19"/>
  <c r="AD11" i="19"/>
  <c r="W10" i="19"/>
  <c r="Z11" i="19"/>
  <c r="AA11" i="19"/>
  <c r="O10" i="19"/>
  <c r="F60" i="6"/>
  <c r="Z12" i="19"/>
  <c r="AA12" i="19"/>
  <c r="Z13" i="19"/>
  <c r="AA13" i="19"/>
  <c r="W26" i="17"/>
  <c r="AK14" i="17"/>
  <c r="AE26" i="17"/>
  <c r="E44" i="9"/>
  <c r="E107" i="12"/>
  <c r="E44" i="10"/>
  <c r="E45" i="7"/>
  <c r="F30" i="5"/>
  <c r="K23" i="12"/>
  <c r="K24" i="12"/>
  <c r="I14" i="7"/>
  <c r="G14" i="7"/>
  <c r="K14" i="7"/>
  <c r="G14" i="12"/>
  <c r="K22" i="12"/>
  <c r="K15" i="12"/>
  <c r="K16" i="12"/>
  <c r="G16" i="12"/>
  <c r="K13" i="12"/>
  <c r="G13" i="12"/>
  <c r="K14" i="12"/>
  <c r="G15" i="12"/>
  <c r="K14" i="10"/>
  <c r="I14" i="10"/>
  <c r="G14" i="9"/>
  <c r="K14" i="9"/>
  <c r="I14" i="9"/>
  <c r="Q28" i="17"/>
  <c r="AL16" i="17"/>
  <c r="AK16" i="17" s="1"/>
  <c r="AL25" i="17"/>
  <c r="AK25" i="17" s="1"/>
  <c r="AL15" i="17"/>
  <c r="B45" i="10"/>
  <c r="B46" i="7"/>
  <c r="B45" i="9"/>
  <c r="I28" i="17"/>
  <c r="J19" i="5"/>
  <c r="L10" i="5"/>
  <c r="AS28" i="17"/>
  <c r="K65" i="6" s="1"/>
  <c r="AD26" i="17" l="1"/>
  <c r="AE28" i="17"/>
  <c r="G65" i="6" s="1"/>
  <c r="H65" i="6" s="1"/>
  <c r="P44" i="18"/>
  <c r="Z45" i="18"/>
  <c r="BJ39" i="18"/>
  <c r="BK35" i="18"/>
  <c r="BJ41" i="18"/>
  <c r="BK37" i="18"/>
  <c r="AD13" i="19"/>
  <c r="AC10" i="19"/>
  <c r="AD12" i="19"/>
  <c r="H60" i="6"/>
  <c r="H81" i="6" s="1"/>
  <c r="G60" i="6"/>
  <c r="G81" i="6" s="1"/>
  <c r="S10" i="19"/>
  <c r="Z10" i="19"/>
  <c r="F81" i="6"/>
  <c r="F92" i="6" s="1"/>
  <c r="D27" i="22" s="1"/>
  <c r="AB10" i="19"/>
  <c r="AA10" i="19"/>
  <c r="AL26" i="17"/>
  <c r="AK26" i="17" s="1"/>
  <c r="K22" i="10"/>
  <c r="E45" i="9"/>
  <c r="E45" i="10"/>
  <c r="F31" i="5"/>
  <c r="Q29" i="17"/>
  <c r="P28" i="17"/>
  <c r="G18" i="13"/>
  <c r="I18" i="13"/>
  <c r="G15" i="13"/>
  <c r="I17" i="13"/>
  <c r="I14" i="13"/>
  <c r="G14" i="13"/>
  <c r="I15" i="13"/>
  <c r="G17" i="13"/>
  <c r="I13" i="13"/>
  <c r="G16" i="13"/>
  <c r="I16" i="13"/>
  <c r="G25" i="13"/>
  <c r="I25" i="13"/>
  <c r="G22" i="13"/>
  <c r="I22" i="13"/>
  <c r="G23" i="13"/>
  <c r="I23" i="13"/>
  <c r="G24" i="13"/>
  <c r="I24" i="13"/>
  <c r="G21" i="13"/>
  <c r="I21" i="13"/>
  <c r="G26" i="13"/>
  <c r="I26" i="13"/>
  <c r="I16" i="12"/>
  <c r="I13" i="12"/>
  <c r="I14" i="12"/>
  <c r="I15" i="12"/>
  <c r="G14" i="10"/>
  <c r="G22" i="12"/>
  <c r="I22" i="12"/>
  <c r="G21" i="12"/>
  <c r="I21" i="12"/>
  <c r="G24" i="12"/>
  <c r="I24" i="12"/>
  <c r="G23" i="12"/>
  <c r="I23" i="12"/>
  <c r="G22" i="10"/>
  <c r="I22" i="10"/>
  <c r="E46" i="7"/>
  <c r="L25" i="13"/>
  <c r="L26" i="13"/>
  <c r="B46" i="10"/>
  <c r="B47" i="7"/>
  <c r="L21" i="12"/>
  <c r="L24" i="12"/>
  <c r="L23" i="12"/>
  <c r="L22" i="12"/>
  <c r="B46" i="9"/>
  <c r="W28" i="17"/>
  <c r="X29" i="17"/>
  <c r="AR28" i="17"/>
  <c r="AD10" i="19" l="1"/>
  <c r="K60" i="6" s="1"/>
  <c r="K81" i="6" s="1"/>
  <c r="I92" i="6" s="1"/>
  <c r="G27" i="22" s="1"/>
  <c r="G92" i="6"/>
  <c r="Y10" i="19"/>
  <c r="J60" i="6"/>
  <c r="J81" i="6" s="1"/>
  <c r="X10" i="19"/>
  <c r="I60" i="6"/>
  <c r="I81" i="6" s="1"/>
  <c r="E64" i="6"/>
  <c r="F64" i="6" s="1"/>
  <c r="G64" i="6" s="1"/>
  <c r="H64" i="6" s="1"/>
  <c r="I64" i="6" s="1"/>
  <c r="J64" i="6" s="1"/>
  <c r="K64" i="6" s="1"/>
  <c r="AL28" i="17"/>
  <c r="E46" i="9"/>
  <c r="E108" i="12"/>
  <c r="E46" i="10"/>
  <c r="E47" i="7"/>
  <c r="F32" i="5"/>
  <c r="AE29" i="17"/>
  <c r="AD28" i="17"/>
  <c r="B47" i="10"/>
  <c r="B48" i="7"/>
  <c r="L21" i="13"/>
  <c r="L23" i="13"/>
  <c r="L22" i="13"/>
  <c r="B47" i="9"/>
  <c r="AS29" i="17" l="1"/>
  <c r="I65" i="6"/>
  <c r="J65" i="6" s="1"/>
  <c r="J82" i="6" s="1"/>
  <c r="E27" i="22"/>
  <c r="AK28" i="17"/>
  <c r="AL29" i="17"/>
  <c r="H92" i="6"/>
  <c r="H82" i="6"/>
  <c r="E82" i="6"/>
  <c r="F82" i="6"/>
  <c r="E47" i="9"/>
  <c r="E109" i="12"/>
  <c r="E47" i="10"/>
  <c r="E48" i="7"/>
  <c r="F34" i="5"/>
  <c r="F33" i="5"/>
  <c r="B48" i="10"/>
  <c r="B49" i="7"/>
  <c r="L24" i="13"/>
  <c r="B48" i="9"/>
  <c r="F27" i="22" l="1"/>
  <c r="F93" i="6"/>
  <c r="F95" i="6" s="1"/>
  <c r="G82" i="6"/>
  <c r="G93" i="6" s="1"/>
  <c r="G95" i="6" s="1"/>
  <c r="E48" i="9"/>
  <c r="E110" i="12"/>
  <c r="E48" i="10"/>
  <c r="E49" i="7"/>
  <c r="F35" i="5"/>
  <c r="B49" i="10"/>
  <c r="B50" i="7"/>
  <c r="B49" i="9"/>
  <c r="D28" i="22" l="1"/>
  <c r="E28" i="22"/>
  <c r="F36" i="5"/>
  <c r="I82" i="6"/>
  <c r="H93" i="6" s="1"/>
  <c r="H95" i="6" s="1"/>
  <c r="E111" i="12"/>
  <c r="E49" i="9"/>
  <c r="E49" i="10"/>
  <c r="E50" i="7"/>
  <c r="B50" i="10"/>
  <c r="B51" i="7"/>
  <c r="B50" i="9"/>
  <c r="F28" i="22" l="1"/>
  <c r="K82" i="6"/>
  <c r="I93" i="6" s="1"/>
  <c r="I95" i="6" s="1"/>
  <c r="E112" i="12"/>
  <c r="E50" i="9"/>
  <c r="E50" i="10"/>
  <c r="E51" i="7"/>
  <c r="E15" i="7" s="1"/>
  <c r="F37" i="5"/>
  <c r="B51" i="10"/>
  <c r="B52" i="7"/>
  <c r="B51" i="9"/>
  <c r="E7" i="12" l="1"/>
  <c r="E42" i="6" s="1"/>
  <c r="E190" i="12"/>
  <c r="E26" i="6" s="1"/>
  <c r="G28" i="22"/>
  <c r="E23" i="7"/>
  <c r="E51" i="9"/>
  <c r="E51" i="10"/>
  <c r="E52" i="7"/>
  <c r="F38" i="5"/>
  <c r="E12" i="12"/>
  <c r="E17" i="12"/>
  <c r="E20" i="12"/>
  <c r="E25" i="12"/>
  <c r="H20" i="5"/>
  <c r="H11" i="5"/>
  <c r="B52" i="10"/>
  <c r="B53" i="7"/>
  <c r="B52" i="9"/>
  <c r="K23" i="7" l="1"/>
  <c r="E52" i="9"/>
  <c r="E52" i="10"/>
  <c r="E23" i="10"/>
  <c r="E15" i="10"/>
  <c r="E53" i="7"/>
  <c r="F39" i="5"/>
  <c r="K20" i="12"/>
  <c r="K15" i="7"/>
  <c r="G15" i="7"/>
  <c r="I15" i="7"/>
  <c r="K25" i="12"/>
  <c r="E23" i="9"/>
  <c r="K23" i="9" s="1"/>
  <c r="E15" i="9"/>
  <c r="G23" i="7"/>
  <c r="I23" i="7"/>
  <c r="J11" i="5"/>
  <c r="L20" i="5"/>
  <c r="B53" i="10"/>
  <c r="B54" i="7"/>
  <c r="B53" i="9"/>
  <c r="E53" i="9" l="1"/>
  <c r="E53" i="10"/>
  <c r="K23" i="10"/>
  <c r="E54" i="7"/>
  <c r="F40" i="5"/>
  <c r="G12" i="12"/>
  <c r="K12" i="12"/>
  <c r="I12" i="12"/>
  <c r="K17" i="12"/>
  <c r="I17" i="12"/>
  <c r="G17" i="12"/>
  <c r="K15" i="10"/>
  <c r="I15" i="10"/>
  <c r="G15" i="10"/>
  <c r="G20" i="12"/>
  <c r="I20" i="12"/>
  <c r="G25" i="12"/>
  <c r="I25" i="12"/>
  <c r="I23" i="10"/>
  <c r="G23" i="10"/>
  <c r="K15" i="9"/>
  <c r="I15" i="9"/>
  <c r="G15" i="9"/>
  <c r="G23" i="9"/>
  <c r="I23" i="9"/>
  <c r="L20" i="12"/>
  <c r="L25" i="12"/>
  <c r="B54" i="10"/>
  <c r="B55" i="7"/>
  <c r="B54" i="9"/>
  <c r="F140" i="5" l="1"/>
  <c r="E54" i="9"/>
  <c r="E54" i="10"/>
  <c r="E55" i="7"/>
  <c r="F41" i="5"/>
  <c r="B55" i="10"/>
  <c r="B56" i="7"/>
  <c r="B55" i="9"/>
  <c r="F141" i="5" l="1"/>
  <c r="E55" i="9"/>
  <c r="E55" i="10"/>
  <c r="E56" i="7"/>
  <c r="F42" i="5"/>
  <c r="B56" i="10"/>
  <c r="B57" i="7"/>
  <c r="B56" i="9"/>
  <c r="F142" i="5" l="1"/>
  <c r="E56" i="9"/>
  <c r="E56" i="10"/>
  <c r="E57" i="7"/>
  <c r="F43" i="5"/>
  <c r="B57" i="10"/>
  <c r="B58" i="7"/>
  <c r="B57" i="9"/>
  <c r="F143" i="5" l="1"/>
  <c r="E57" i="9"/>
  <c r="E57" i="10"/>
  <c r="E58" i="7"/>
  <c r="F44" i="5"/>
  <c r="B58" i="10"/>
  <c r="B59" i="7"/>
  <c r="B58" i="9"/>
  <c r="F144" i="5" l="1"/>
  <c r="E58" i="9"/>
  <c r="E58" i="10"/>
  <c r="E59" i="7"/>
  <c r="F45" i="5"/>
  <c r="B59" i="10"/>
  <c r="B60" i="7"/>
  <c r="B59" i="9"/>
  <c r="F145" i="5" l="1"/>
  <c r="E59" i="9"/>
  <c r="E59" i="10"/>
  <c r="E60" i="7"/>
  <c r="F46" i="5"/>
  <c r="B60" i="10"/>
  <c r="B61" i="7"/>
  <c r="B60" i="9"/>
  <c r="F155" i="5" l="1"/>
  <c r="E60" i="9"/>
  <c r="E60" i="10"/>
  <c r="E61" i="7"/>
  <c r="E16" i="7" s="1"/>
  <c r="F47" i="5"/>
  <c r="B61" i="10"/>
  <c r="B62" i="7"/>
  <c r="B61" i="9"/>
  <c r="F146" i="5" l="1"/>
  <c r="E61" i="9"/>
  <c r="E24" i="7"/>
  <c r="E61" i="10"/>
  <c r="E62" i="7"/>
  <c r="F48" i="5"/>
  <c r="H12" i="5"/>
  <c r="H21" i="5"/>
  <c r="B62" i="10"/>
  <c r="B63" i="7"/>
  <c r="B62" i="9"/>
  <c r="F147" i="5" l="1"/>
  <c r="K24" i="7"/>
  <c r="E62" i="9"/>
  <c r="G16" i="7"/>
  <c r="E62" i="10"/>
  <c r="E16" i="10"/>
  <c r="E24" i="10"/>
  <c r="E63" i="7"/>
  <c r="F49" i="5"/>
  <c r="I16" i="7"/>
  <c r="K16" i="7"/>
  <c r="E16" i="9"/>
  <c r="E24" i="9"/>
  <c r="I24" i="7"/>
  <c r="G24" i="7"/>
  <c r="J12" i="5"/>
  <c r="J21" i="5"/>
  <c r="L21" i="5"/>
  <c r="B63" i="10"/>
  <c r="B64" i="7"/>
  <c r="B63" i="9"/>
  <c r="F148" i="5" l="1"/>
  <c r="E63" i="9"/>
  <c r="K24" i="10"/>
  <c r="E63" i="10"/>
  <c r="E64" i="7"/>
  <c r="F50" i="5"/>
  <c r="K24" i="9"/>
  <c r="I16" i="10"/>
  <c r="K16" i="10"/>
  <c r="G16" i="10"/>
  <c r="G24" i="10"/>
  <c r="I24" i="10"/>
  <c r="G16" i="9"/>
  <c r="K16" i="9"/>
  <c r="I16" i="9"/>
  <c r="G24" i="9"/>
  <c r="I24" i="9"/>
  <c r="B64" i="10"/>
  <c r="B65" i="7"/>
  <c r="B64" i="9"/>
  <c r="F149" i="5" l="1"/>
  <c r="E64" i="9"/>
  <c r="E64" i="10"/>
  <c r="E65" i="7"/>
  <c r="F51" i="5"/>
  <c r="B65" i="10"/>
  <c r="B66" i="7"/>
  <c r="B65" i="9"/>
  <c r="F150" i="5" l="1"/>
  <c r="E65" i="9"/>
  <c r="E65" i="10"/>
  <c r="E66" i="7"/>
  <c r="F52" i="5"/>
  <c r="B66" i="10"/>
  <c r="B67" i="7"/>
  <c r="B66" i="9"/>
  <c r="F151" i="5" l="1"/>
  <c r="E66" i="9"/>
  <c r="E66" i="10"/>
  <c r="E67" i="7"/>
  <c r="F53" i="5"/>
  <c r="B67" i="10"/>
  <c r="B68" i="7"/>
  <c r="B67" i="9"/>
  <c r="F152" i="5" l="1"/>
  <c r="E67" i="9"/>
  <c r="E67" i="10"/>
  <c r="E68" i="7"/>
  <c r="F54" i="5"/>
  <c r="B68" i="10"/>
  <c r="B69" i="7"/>
  <c r="B68" i="9"/>
  <c r="F153" i="5" l="1"/>
  <c r="E68" i="9"/>
  <c r="E68" i="10"/>
  <c r="E69" i="7"/>
  <c r="F55" i="5"/>
  <c r="B69" i="10"/>
  <c r="B70" i="7"/>
  <c r="B69" i="9"/>
  <c r="F154" i="5" l="1"/>
  <c r="E69" i="9"/>
  <c r="E69" i="10"/>
  <c r="E70" i="7"/>
  <c r="F56" i="5"/>
  <c r="B70" i="10"/>
  <c r="B71" i="7"/>
  <c r="B70" i="9"/>
  <c r="E70" i="9" l="1"/>
  <c r="E70" i="10"/>
  <c r="E71" i="7"/>
  <c r="E25" i="7" s="1"/>
  <c r="F57" i="5"/>
  <c r="B71" i="10"/>
  <c r="B72" i="7"/>
  <c r="B71" i="9"/>
  <c r="E71" i="9" l="1"/>
  <c r="E17" i="7"/>
  <c r="F80" i="5"/>
  <c r="F64" i="5"/>
  <c r="F83" i="5"/>
  <c r="F67" i="5"/>
  <c r="F86" i="5"/>
  <c r="F70" i="5"/>
  <c r="F92" i="5"/>
  <c r="F77" i="5"/>
  <c r="F76" i="5"/>
  <c r="F79" i="5"/>
  <c r="F63" i="5"/>
  <c r="F82" i="5"/>
  <c r="F66" i="5"/>
  <c r="F89" i="5"/>
  <c r="F73" i="5"/>
  <c r="F84" i="5"/>
  <c r="F68" i="5"/>
  <c r="F87" i="5"/>
  <c r="F71" i="5"/>
  <c r="F90" i="5"/>
  <c r="F74" i="5"/>
  <c r="F81" i="5"/>
  <c r="F65" i="5"/>
  <c r="F88" i="5"/>
  <c r="F72" i="5"/>
  <c r="F91" i="5"/>
  <c r="F75" i="5"/>
  <c r="F78" i="5"/>
  <c r="F62" i="5"/>
  <c r="F85" i="5"/>
  <c r="F69" i="5"/>
  <c r="E71" i="10"/>
  <c r="E72" i="7"/>
  <c r="F59" i="5"/>
  <c r="F58" i="5"/>
  <c r="F61" i="5"/>
  <c r="F60" i="5"/>
  <c r="H13" i="5"/>
  <c r="H22" i="5"/>
  <c r="B72" i="10"/>
  <c r="B73" i="7"/>
  <c r="B72" i="9"/>
  <c r="F156" i="5" l="1"/>
  <c r="K25" i="7"/>
  <c r="E72" i="9"/>
  <c r="F93" i="5"/>
  <c r="E72" i="10"/>
  <c r="E17" i="10"/>
  <c r="E25" i="10"/>
  <c r="E73" i="7"/>
  <c r="G17" i="7"/>
  <c r="H14" i="5"/>
  <c r="I17" i="7"/>
  <c r="K17" i="7"/>
  <c r="E17" i="9"/>
  <c r="E25" i="9"/>
  <c r="G25" i="7"/>
  <c r="I25" i="7"/>
  <c r="J13" i="5"/>
  <c r="J22" i="5"/>
  <c r="B73" i="10"/>
  <c r="B74" i="7"/>
  <c r="B73" i="9"/>
  <c r="L22" i="5"/>
  <c r="F157" i="5" l="1"/>
  <c r="K25" i="10"/>
  <c r="E73" i="9"/>
  <c r="F94" i="5"/>
  <c r="E73" i="10"/>
  <c r="E74" i="7"/>
  <c r="K25" i="9"/>
  <c r="I17" i="10"/>
  <c r="G17" i="10"/>
  <c r="K17" i="10"/>
  <c r="I25" i="10"/>
  <c r="G25" i="10"/>
  <c r="K17" i="9"/>
  <c r="I17" i="9"/>
  <c r="G17" i="9"/>
  <c r="I25" i="9"/>
  <c r="G25" i="9"/>
  <c r="B74" i="10"/>
  <c r="B75" i="7"/>
  <c r="B74" i="9"/>
  <c r="F158" i="5" l="1"/>
  <c r="E74" i="9"/>
  <c r="F95" i="5"/>
  <c r="E74" i="10"/>
  <c r="E75" i="7"/>
  <c r="B75" i="10"/>
  <c r="B76" i="7"/>
  <c r="B75" i="9"/>
  <c r="F159" i="5" l="1"/>
  <c r="E75" i="9"/>
  <c r="F96" i="5"/>
  <c r="E75" i="10"/>
  <c r="E76" i="7"/>
  <c r="B76" i="10"/>
  <c r="B77" i="7"/>
  <c r="B76" i="9"/>
  <c r="F160" i="5" l="1"/>
  <c r="E76" i="9"/>
  <c r="F97" i="5"/>
  <c r="E76" i="10"/>
  <c r="E77" i="7"/>
  <c r="B77" i="10"/>
  <c r="B78" i="7"/>
  <c r="B77" i="9"/>
  <c r="F161" i="5" l="1"/>
  <c r="E77" i="9"/>
  <c r="F98" i="5"/>
  <c r="E77" i="10"/>
  <c r="E78" i="7"/>
  <c r="B78" i="10"/>
  <c r="B79" i="7"/>
  <c r="B78" i="9"/>
  <c r="F162" i="5" l="1"/>
  <c r="E78" i="9"/>
  <c r="F99" i="5"/>
  <c r="E78" i="10"/>
  <c r="E79" i="7"/>
  <c r="B79" i="10"/>
  <c r="B80" i="7"/>
  <c r="B79" i="9"/>
  <c r="F163" i="5" l="1"/>
  <c r="E79" i="9"/>
  <c r="F100" i="5"/>
  <c r="E79" i="10"/>
  <c r="E80" i="7"/>
  <c r="B80" i="10"/>
  <c r="B81" i="7"/>
  <c r="B80" i="9"/>
  <c r="E80" i="9" l="1"/>
  <c r="F101" i="5"/>
  <c r="E80" i="10"/>
  <c r="E81" i="7"/>
  <c r="B81" i="10"/>
  <c r="B82" i="7"/>
  <c r="B81" i="9"/>
  <c r="F164" i="5" l="1"/>
  <c r="E81" i="9"/>
  <c r="F102" i="5"/>
  <c r="E81" i="10"/>
  <c r="E82" i="7"/>
  <c r="B82" i="10"/>
  <c r="B83" i="7"/>
  <c r="B82" i="9"/>
  <c r="F165" i="5" l="1"/>
  <c r="E82" i="9"/>
  <c r="F103" i="5"/>
  <c r="E82" i="10"/>
  <c r="E83" i="7"/>
  <c r="B83" i="10"/>
  <c r="B84" i="7"/>
  <c r="B83" i="9"/>
  <c r="F166" i="5" l="1"/>
  <c r="E83" i="9"/>
  <c r="F104" i="5"/>
  <c r="E83" i="10"/>
  <c r="E84" i="7"/>
  <c r="B84" i="10"/>
  <c r="B85" i="7"/>
  <c r="B84" i="9"/>
  <c r="F167" i="5" l="1"/>
  <c r="E84" i="9"/>
  <c r="F105" i="5"/>
  <c r="E84" i="10"/>
  <c r="E85" i="7"/>
  <c r="B85" i="10"/>
  <c r="B86" i="7"/>
  <c r="B85" i="9"/>
  <c r="F168" i="5" l="1"/>
  <c r="E85" i="9"/>
  <c r="F106" i="5"/>
  <c r="E85" i="10"/>
  <c r="E86" i="7"/>
  <c r="B86" i="10"/>
  <c r="B87" i="7"/>
  <c r="B86" i="9"/>
  <c r="F169" i="5" l="1"/>
  <c r="E86" i="9"/>
  <c r="F107" i="5"/>
  <c r="E86" i="10"/>
  <c r="E87" i="7"/>
  <c r="B87" i="10"/>
  <c r="B88" i="7"/>
  <c r="B87" i="9"/>
  <c r="F170" i="5" l="1"/>
  <c r="E87" i="9"/>
  <c r="F108" i="5"/>
  <c r="E87" i="10"/>
  <c r="E88" i="7"/>
  <c r="B88" i="10"/>
  <c r="B89" i="7"/>
  <c r="B88" i="9"/>
  <c r="F171" i="5" l="1"/>
  <c r="E88" i="9"/>
  <c r="F109" i="5"/>
  <c r="E88" i="10"/>
  <c r="E89" i="7"/>
  <c r="B89" i="10"/>
  <c r="B90" i="7"/>
  <c r="B89" i="9"/>
  <c r="E89" i="9" l="1"/>
  <c r="F110" i="5"/>
  <c r="E89" i="10"/>
  <c r="E90" i="7"/>
  <c r="B90" i="10"/>
  <c r="B91" i="7"/>
  <c r="B90" i="9"/>
  <c r="F172" i="5" l="1"/>
  <c r="E90" i="9"/>
  <c r="F111" i="5"/>
  <c r="E90" i="10"/>
  <c r="E91" i="7"/>
  <c r="B91" i="10"/>
  <c r="B92" i="7"/>
  <c r="B91" i="9"/>
  <c r="F173" i="5" l="1"/>
  <c r="E91" i="9"/>
  <c r="F112" i="5"/>
  <c r="E91" i="10"/>
  <c r="E92" i="7"/>
  <c r="B92" i="10"/>
  <c r="B93" i="7"/>
  <c r="B92" i="9"/>
  <c r="F174" i="5" l="1"/>
  <c r="E92" i="9"/>
  <c r="F113" i="5"/>
  <c r="E92" i="10"/>
  <c r="E93" i="7"/>
  <c r="B93" i="10"/>
  <c r="B94" i="7"/>
  <c r="B93" i="9"/>
  <c r="E93" i="9" l="1"/>
  <c r="F114" i="5"/>
  <c r="E93" i="10"/>
  <c r="E94" i="7"/>
  <c r="B94" i="10"/>
  <c r="B95" i="7"/>
  <c r="B94" i="9"/>
  <c r="E94" i="9" l="1"/>
  <c r="F115" i="5"/>
  <c r="E94" i="10"/>
  <c r="E8" i="10" s="1"/>
  <c r="E95" i="7"/>
  <c r="B96" i="7"/>
  <c r="B95" i="9"/>
  <c r="E95" i="9" l="1"/>
  <c r="F116" i="5"/>
  <c r="E102" i="10"/>
  <c r="E13" i="10"/>
  <c r="E21" i="10"/>
  <c r="E41" i="6"/>
  <c r="E18" i="10"/>
  <c r="E26" i="10"/>
  <c r="E96" i="7"/>
  <c r="B97" i="7"/>
  <c r="B98" i="7" s="1"/>
  <c r="B96" i="9"/>
  <c r="E25" i="6" l="1"/>
  <c r="K26" i="10"/>
  <c r="E96" i="9"/>
  <c r="F117" i="5"/>
  <c r="K21" i="10"/>
  <c r="E97" i="7"/>
  <c r="I18" i="10"/>
  <c r="G18" i="10"/>
  <c r="I26" i="10"/>
  <c r="I13" i="10"/>
  <c r="G13" i="10"/>
  <c r="G21" i="10"/>
  <c r="I21" i="10"/>
  <c r="G26" i="10"/>
  <c r="B97" i="9"/>
  <c r="E8" i="7" l="1"/>
  <c r="E39" i="6" s="1"/>
  <c r="E26" i="7"/>
  <c r="E18" i="7"/>
  <c r="E13" i="7"/>
  <c r="E21" i="7"/>
  <c r="E97" i="9"/>
  <c r="F118" i="5"/>
  <c r="E103" i="7"/>
  <c r="B98" i="9"/>
  <c r="E23" i="6" l="1"/>
  <c r="E98" i="9"/>
  <c r="F119" i="5"/>
  <c r="B99" i="9"/>
  <c r="E99" i="9" l="1"/>
  <c r="F120" i="5"/>
  <c r="B100" i="9"/>
  <c r="K21" i="7" l="1"/>
  <c r="K26" i="7"/>
  <c r="E100" i="9"/>
  <c r="F121" i="5"/>
  <c r="K18" i="7"/>
  <c r="G13" i="7"/>
  <c r="I13" i="7"/>
  <c r="K13" i="7"/>
  <c r="G18" i="7"/>
  <c r="I18" i="7"/>
  <c r="I21" i="7"/>
  <c r="I26" i="7"/>
  <c r="G21" i="7"/>
  <c r="G26" i="7"/>
  <c r="E8" i="9" l="1"/>
  <c r="E40" i="6" s="1"/>
  <c r="F122" i="5"/>
  <c r="E21" i="9"/>
  <c r="E13" i="9"/>
  <c r="E123" i="9"/>
  <c r="E28" i="6" s="1"/>
  <c r="E18" i="9"/>
  <c r="E26" i="9"/>
  <c r="E24" i="6" l="1"/>
  <c r="F123" i="5"/>
  <c r="K21" i="9"/>
  <c r="K26" i="9"/>
  <c r="G18" i="9"/>
  <c r="G13" i="9"/>
  <c r="I13" i="9"/>
  <c r="K13" i="9"/>
  <c r="I18" i="9"/>
  <c r="K18" i="9"/>
  <c r="G21" i="9"/>
  <c r="I21" i="9"/>
  <c r="G26" i="9"/>
  <c r="I26" i="9"/>
  <c r="F124" i="5" l="1"/>
  <c r="F125" i="5" l="1"/>
  <c r="F126" i="5" l="1"/>
  <c r="F127" i="5" l="1"/>
  <c r="F128" i="5" l="1"/>
  <c r="F129" i="5" l="1"/>
  <c r="F130" i="5" l="1"/>
  <c r="F131" i="5" l="1"/>
  <c r="F132" i="5" l="1"/>
  <c r="F133" i="5" l="1"/>
  <c r="F134" i="5" l="1"/>
  <c r="F135" i="5" l="1"/>
  <c r="F136" i="5" l="1"/>
  <c r="F137" i="5" l="1"/>
  <c r="F138" i="5" l="1"/>
  <c r="F139" i="5" l="1"/>
  <c r="F7" i="5" s="1"/>
  <c r="F176" i="5" s="1"/>
  <c r="E21" i="6" s="1"/>
  <c r="E37" i="6" l="1"/>
  <c r="F175" i="5"/>
  <c r="H15" i="5" l="1"/>
  <c r="H9" i="5"/>
  <c r="H18" i="5"/>
  <c r="H23" i="5"/>
  <c r="J15" i="5" l="1"/>
  <c r="L15" i="5"/>
  <c r="L14" i="5"/>
  <c r="J14" i="5"/>
  <c r="J9" i="5"/>
  <c r="L23" i="5"/>
  <c r="J23" i="5"/>
  <c r="L18" i="5"/>
  <c r="J18" i="5" l="1"/>
  <c r="L12" i="5"/>
  <c r="L11" i="5"/>
  <c r="J20" i="5"/>
  <c r="L13" i="5"/>
  <c r="L9" i="5"/>
  <c r="K13" i="10" l="1"/>
  <c r="K18" i="10"/>
  <c r="E55" i="6" l="1"/>
  <c r="E80" i="6" s="1"/>
  <c r="E54" i="6"/>
  <c r="F5" i="21" l="1"/>
  <c r="F45" i="21" l="1"/>
  <c r="F18" i="21" l="1"/>
  <c r="F40" i="21" l="1"/>
  <c r="F34" i="21" l="1"/>
  <c r="F36" i="21"/>
  <c r="E63" i="21" s="1"/>
  <c r="F63" i="21" l="1"/>
  <c r="F64" i="21" s="1"/>
  <c r="E64" i="21"/>
  <c r="E11" i="21" l="1"/>
  <c r="G11" i="21" s="1"/>
  <c r="F11" i="21"/>
  <c r="E6" i="21"/>
  <c r="G6" i="21" s="1"/>
  <c r="F6" i="21" l="1"/>
  <c r="E9" i="21" l="1"/>
  <c r="G9" i="21" s="1"/>
  <c r="E8" i="21"/>
  <c r="G8" i="21" s="1"/>
  <c r="F41" i="21"/>
  <c r="F42" i="21"/>
  <c r="F39" i="21"/>
  <c r="F10" i="21"/>
  <c r="F9" i="21" l="1"/>
  <c r="F8" i="21"/>
  <c r="F43" i="21"/>
  <c r="F44" i="21" l="1"/>
  <c r="F15" i="21" l="1"/>
  <c r="E55" i="21" l="1"/>
  <c r="F13" i="21"/>
  <c r="F55" i="21" l="1"/>
  <c r="F56" i="21" s="1"/>
  <c r="E56" i="21"/>
  <c r="F21" i="21" l="1"/>
  <c r="F22" i="21"/>
  <c r="F19" i="21" l="1"/>
  <c r="F23" i="21"/>
  <c r="E10" i="21" l="1"/>
  <c r="G10" i="21" s="1"/>
  <c r="F25" i="21"/>
  <c r="F46" i="21" l="1"/>
  <c r="E67" i="21" s="1"/>
  <c r="F67" i="21" l="1"/>
  <c r="F68" i="21" s="1"/>
  <c r="E68" i="21"/>
  <c r="E13" i="21"/>
  <c r="G13" i="21" s="1"/>
  <c r="F29" i="21" l="1"/>
  <c r="F27" i="21"/>
  <c r="E59" i="21" l="1"/>
  <c r="E51" i="21"/>
  <c r="F51" i="21" l="1"/>
  <c r="F52" i="21" s="1"/>
  <c r="E52" i="21"/>
  <c r="F59" i="21"/>
  <c r="F60" i="21" s="1"/>
  <c r="E60" i="21"/>
  <c r="E33" i="13"/>
  <c r="E35" i="13"/>
  <c r="E34" i="13"/>
  <c r="E32" i="13"/>
  <c r="E14" i="13" l="1"/>
  <c r="K14" i="13" s="1"/>
  <c r="E22" i="13"/>
  <c r="K22" i="13" s="1"/>
  <c r="AP1" i="18" l="1"/>
  <c r="F13" i="6"/>
  <c r="G119" i="6" s="1"/>
  <c r="F19" i="6"/>
  <c r="F15" i="6"/>
  <c r="G121" i="6" s="1"/>
  <c r="F14" i="6"/>
  <c r="G120" i="6" s="1"/>
  <c r="F5" i="22"/>
  <c r="D5" i="22" s="1"/>
  <c r="F3" i="13"/>
  <c r="F3" i="10"/>
  <c r="F67" i="6"/>
  <c r="F3" i="12"/>
  <c r="F98" i="6"/>
  <c r="F115" i="6" s="1"/>
  <c r="F3" i="9"/>
  <c r="F3" i="7"/>
  <c r="F7" i="7" s="1"/>
  <c r="F53" i="13" l="1"/>
  <c r="F55" i="13"/>
  <c r="F57" i="13"/>
  <c r="F59" i="13"/>
  <c r="F61" i="13"/>
  <c r="F63" i="13"/>
  <c r="F65" i="13"/>
  <c r="F67" i="13"/>
  <c r="F69" i="13"/>
  <c r="F71" i="13"/>
  <c r="F73" i="13"/>
  <c r="F75" i="13"/>
  <c r="F77" i="13"/>
  <c r="F79" i="13"/>
  <c r="F81" i="13"/>
  <c r="F83" i="13"/>
  <c r="F85" i="13"/>
  <c r="F87" i="13"/>
  <c r="F89" i="13"/>
  <c r="F93" i="13"/>
  <c r="F95" i="13"/>
  <c r="F97" i="13"/>
  <c r="F99" i="13"/>
  <c r="F103" i="13"/>
  <c r="F91" i="13"/>
  <c r="F101" i="13"/>
  <c r="F58" i="13"/>
  <c r="F66" i="13"/>
  <c r="F74" i="13"/>
  <c r="F82" i="13"/>
  <c r="F90" i="13"/>
  <c r="F98" i="13"/>
  <c r="F54" i="13"/>
  <c r="F62" i="13"/>
  <c r="F70" i="13"/>
  <c r="F86" i="13"/>
  <c r="F102" i="13"/>
  <c r="F56" i="13"/>
  <c r="F80" i="13"/>
  <c r="F96" i="13"/>
  <c r="F52" i="13"/>
  <c r="F60" i="13"/>
  <c r="F68" i="13"/>
  <c r="F76" i="13"/>
  <c r="F84" i="13"/>
  <c r="F92" i="13"/>
  <c r="F100" i="13"/>
  <c r="F78" i="13"/>
  <c r="F94" i="13"/>
  <c r="F64" i="13"/>
  <c r="F72" i="13"/>
  <c r="F88" i="13"/>
  <c r="H3" i="5"/>
  <c r="H33" i="5" s="1"/>
  <c r="H146" i="5"/>
  <c r="H137" i="5"/>
  <c r="H69" i="5"/>
  <c r="H112" i="5"/>
  <c r="H144" i="5"/>
  <c r="H165" i="5"/>
  <c r="H48" i="5"/>
  <c r="H70" i="5"/>
  <c r="H92" i="5"/>
  <c r="H113" i="5"/>
  <c r="H134" i="5"/>
  <c r="H156" i="5"/>
  <c r="H44" i="5"/>
  <c r="H89" i="5"/>
  <c r="H132" i="5"/>
  <c r="H174" i="5"/>
  <c r="M14" i="6"/>
  <c r="M15" i="6"/>
  <c r="G19" i="6"/>
  <c r="G13" i="6"/>
  <c r="H119" i="6" s="1"/>
  <c r="G15" i="6"/>
  <c r="H121" i="6" s="1"/>
  <c r="G14" i="6"/>
  <c r="H120" i="6" s="1"/>
  <c r="H10" i="6"/>
  <c r="AT1" i="18" s="1"/>
  <c r="G3" i="9"/>
  <c r="G5" i="22"/>
  <c r="G3" i="12"/>
  <c r="G3" i="7"/>
  <c r="G3" i="10"/>
  <c r="G3" i="13"/>
  <c r="G67" i="6"/>
  <c r="F73" i="6"/>
  <c r="F53" i="6"/>
  <c r="D46" i="22"/>
  <c r="C53" i="22" s="1"/>
  <c r="F32" i="13"/>
  <c r="F31" i="13"/>
  <c r="F34" i="13"/>
  <c r="F35" i="13"/>
  <c r="F33" i="13"/>
  <c r="F152" i="12"/>
  <c r="F177" i="12"/>
  <c r="F129" i="12"/>
  <c r="F123" i="12"/>
  <c r="F128" i="12"/>
  <c r="F48" i="12"/>
  <c r="F94" i="12"/>
  <c r="F77" i="12"/>
  <c r="F50" i="12"/>
  <c r="F106" i="12"/>
  <c r="F157" i="12"/>
  <c r="F171" i="12"/>
  <c r="F122" i="12"/>
  <c r="F136" i="12"/>
  <c r="F131" i="12"/>
  <c r="F45" i="12"/>
  <c r="F68" i="12"/>
  <c r="F56" i="12"/>
  <c r="F104" i="12"/>
  <c r="F116" i="12"/>
  <c r="F138" i="12"/>
  <c r="F159" i="12"/>
  <c r="F153" i="12"/>
  <c r="F119" i="12"/>
  <c r="F30" i="12"/>
  <c r="F36" i="12"/>
  <c r="F82" i="12"/>
  <c r="F84" i="12"/>
  <c r="F90" i="12"/>
  <c r="F107" i="12"/>
  <c r="F156" i="12"/>
  <c r="F124" i="12"/>
  <c r="F142" i="12"/>
  <c r="F125" i="12"/>
  <c r="F173" i="12"/>
  <c r="F44" i="12"/>
  <c r="F93" i="12"/>
  <c r="F92" i="12"/>
  <c r="F63" i="12"/>
  <c r="F83" i="12"/>
  <c r="F186" i="12"/>
  <c r="F132" i="12"/>
  <c r="F154" i="12"/>
  <c r="F183" i="12"/>
  <c r="F52" i="12"/>
  <c r="F47" i="12"/>
  <c r="F87" i="12"/>
  <c r="F79" i="12"/>
  <c r="F74" i="12"/>
  <c r="F108" i="12"/>
  <c r="F187" i="12"/>
  <c r="F143" i="12"/>
  <c r="F149" i="12"/>
  <c r="F164" i="12"/>
  <c r="F32" i="12"/>
  <c r="F31" i="12"/>
  <c r="F99" i="12"/>
  <c r="F43" i="12"/>
  <c r="F53" i="12"/>
  <c r="F109" i="12"/>
  <c r="F150" i="12"/>
  <c r="F127" i="12"/>
  <c r="F163" i="12"/>
  <c r="F117" i="12"/>
  <c r="F40" i="12"/>
  <c r="F67" i="12"/>
  <c r="F60" i="12"/>
  <c r="F65" i="12"/>
  <c r="F88" i="12"/>
  <c r="F110" i="12"/>
  <c r="F180" i="12"/>
  <c r="F181" i="12"/>
  <c r="F167" i="12"/>
  <c r="F140" i="12"/>
  <c r="F57" i="12"/>
  <c r="F69" i="12"/>
  <c r="F75" i="12"/>
  <c r="F96" i="12"/>
  <c r="F98" i="12"/>
  <c r="F188" i="12"/>
  <c r="F172" i="12"/>
  <c r="F141" i="12"/>
  <c r="F165" i="12"/>
  <c r="F42" i="12"/>
  <c r="F35" i="12"/>
  <c r="F85" i="12"/>
  <c r="F91" i="12"/>
  <c r="F51" i="12"/>
  <c r="F146" i="12"/>
  <c r="F158" i="12"/>
  <c r="F160" i="12"/>
  <c r="F184" i="12"/>
  <c r="F144" i="12"/>
  <c r="F49" i="12"/>
  <c r="F62" i="12"/>
  <c r="F72" i="12"/>
  <c r="F89" i="12"/>
  <c r="F101" i="12"/>
  <c r="F133" i="12"/>
  <c r="F121" i="12"/>
  <c r="F145" i="12"/>
  <c r="F126" i="12"/>
  <c r="F166" i="12"/>
  <c r="F33" i="12"/>
  <c r="F38" i="12"/>
  <c r="F76" i="12"/>
  <c r="F46" i="12"/>
  <c r="F73" i="12"/>
  <c r="F112" i="12"/>
  <c r="F162" i="12"/>
  <c r="F118" i="12"/>
  <c r="F175" i="12"/>
  <c r="F147" i="12"/>
  <c r="F37" i="12"/>
  <c r="F41" i="12"/>
  <c r="F64" i="12"/>
  <c r="F66" i="12"/>
  <c r="F61" i="12"/>
  <c r="F130" i="12"/>
  <c r="F185" i="12"/>
  <c r="F151" i="12"/>
  <c r="F178" i="12"/>
  <c r="F161" i="12"/>
  <c r="F70" i="12"/>
  <c r="F102" i="12"/>
  <c r="F105" i="12"/>
  <c r="F55" i="12"/>
  <c r="F59" i="12"/>
  <c r="F168" i="12"/>
  <c r="F120" i="12"/>
  <c r="F170" i="12"/>
  <c r="F137" i="12"/>
  <c r="F169" i="12"/>
  <c r="F114" i="12"/>
  <c r="F71" i="12"/>
  <c r="F80" i="12"/>
  <c r="F78" i="12"/>
  <c r="F58" i="12"/>
  <c r="F135" i="12"/>
  <c r="F179" i="12"/>
  <c r="F148" i="12"/>
  <c r="F139" i="12"/>
  <c r="F113" i="12"/>
  <c r="F34" i="12"/>
  <c r="F95" i="12"/>
  <c r="F100" i="12"/>
  <c r="F103" i="12"/>
  <c r="F97" i="12"/>
  <c r="F134" i="12"/>
  <c r="F182" i="12"/>
  <c r="F174" i="12"/>
  <c r="F155" i="12"/>
  <c r="F176" i="12"/>
  <c r="F39" i="12"/>
  <c r="F81" i="12"/>
  <c r="F86" i="12"/>
  <c r="F115" i="12"/>
  <c r="F54" i="12"/>
  <c r="F111" i="12"/>
  <c r="M13" i="6"/>
  <c r="F12" i="6"/>
  <c r="F45" i="7"/>
  <c r="F7" i="9"/>
  <c r="F52" i="9" s="1"/>
  <c r="F17" i="22"/>
  <c r="F69" i="6"/>
  <c r="G69" i="6" s="1"/>
  <c r="H69" i="6" s="1"/>
  <c r="I69" i="6" s="1"/>
  <c r="J69" i="6" s="1"/>
  <c r="F70" i="6"/>
  <c r="G70" i="6" s="1"/>
  <c r="H70" i="6" s="1"/>
  <c r="I70" i="6" s="1"/>
  <c r="J70" i="6" s="1"/>
  <c r="F72" i="6"/>
  <c r="G72" i="6" s="1"/>
  <c r="K3" i="14"/>
  <c r="N16" i="14" s="1"/>
  <c r="F71" i="6"/>
  <c r="G71" i="6" s="1"/>
  <c r="H71" i="6" s="1"/>
  <c r="I71" i="6" s="1"/>
  <c r="J71" i="6" s="1"/>
  <c r="F7" i="10"/>
  <c r="F98" i="10" s="1"/>
  <c r="F7" i="12" l="1"/>
  <c r="H61" i="5"/>
  <c r="G52" i="13"/>
  <c r="G53" i="13"/>
  <c r="G54" i="13"/>
  <c r="G55" i="13"/>
  <c r="G56" i="13"/>
  <c r="G57" i="13"/>
  <c r="G58" i="13"/>
  <c r="G59" i="13"/>
  <c r="G60" i="13"/>
  <c r="G61" i="13"/>
  <c r="G62" i="13"/>
  <c r="G63" i="13"/>
  <c r="G64" i="13"/>
  <c r="G65" i="13"/>
  <c r="G66" i="13"/>
  <c r="G67" i="13"/>
  <c r="G68" i="13"/>
  <c r="G69" i="13"/>
  <c r="G70" i="13"/>
  <c r="G71" i="13"/>
  <c r="G72" i="13"/>
  <c r="G73" i="13"/>
  <c r="G74" i="13"/>
  <c r="G75" i="13"/>
  <c r="G76" i="13"/>
  <c r="G77" i="13"/>
  <c r="G78" i="13"/>
  <c r="G79" i="13"/>
  <c r="G80" i="13"/>
  <c r="G81" i="13"/>
  <c r="G82" i="13"/>
  <c r="G83" i="13"/>
  <c r="G84" i="13"/>
  <c r="G85" i="13"/>
  <c r="G86" i="13"/>
  <c r="G87" i="13"/>
  <c r="G88" i="13"/>
  <c r="G89" i="13"/>
  <c r="G90" i="13"/>
  <c r="G91" i="13"/>
  <c r="G92" i="13"/>
  <c r="G93" i="13"/>
  <c r="G94" i="13"/>
  <c r="G95" i="13"/>
  <c r="G96" i="13"/>
  <c r="G97" i="13"/>
  <c r="G98" i="13"/>
  <c r="G99" i="13"/>
  <c r="G100" i="13"/>
  <c r="G101" i="13"/>
  <c r="G102" i="13"/>
  <c r="G103" i="13"/>
  <c r="H105" i="5"/>
  <c r="H166" i="5"/>
  <c r="H124" i="5"/>
  <c r="H81" i="5"/>
  <c r="H32" i="5"/>
  <c r="H133" i="5"/>
  <c r="H46" i="5"/>
  <c r="H104" i="5"/>
  <c r="H153" i="5"/>
  <c r="H68" i="5"/>
  <c r="H145" i="5"/>
  <c r="H102" i="5"/>
  <c r="H60" i="5"/>
  <c r="H154" i="5"/>
  <c r="H90" i="5"/>
  <c r="H52" i="5"/>
  <c r="H159" i="5"/>
  <c r="H127" i="5"/>
  <c r="H95" i="5"/>
  <c r="H63" i="5"/>
  <c r="H122" i="5"/>
  <c r="H80" i="5"/>
  <c r="H30" i="5"/>
  <c r="H168" i="5"/>
  <c r="H82" i="5"/>
  <c r="H143" i="5"/>
  <c r="H79" i="5"/>
  <c r="H101" i="5"/>
  <c r="H58" i="5"/>
  <c r="H100" i="5"/>
  <c r="H125" i="5"/>
  <c r="H34" i="5"/>
  <c r="H111" i="5"/>
  <c r="H39" i="5"/>
  <c r="H121" i="5"/>
  <c r="H28" i="5"/>
  <c r="H136" i="5"/>
  <c r="H93" i="5"/>
  <c r="H50" i="5"/>
  <c r="H151" i="5"/>
  <c r="H119" i="5"/>
  <c r="H87" i="5"/>
  <c r="H55" i="5"/>
  <c r="H158" i="5"/>
  <c r="H73" i="5"/>
  <c r="H157" i="5"/>
  <c r="H114" i="5"/>
  <c r="H72" i="5"/>
  <c r="H167" i="5"/>
  <c r="H135" i="5"/>
  <c r="H103" i="5"/>
  <c r="H71" i="5"/>
  <c r="H31" i="5"/>
  <c r="H49" i="5"/>
  <c r="H47" i="5"/>
  <c r="H41" i="5"/>
  <c r="H142" i="5"/>
  <c r="H94" i="5"/>
  <c r="H57" i="5"/>
  <c r="H161" i="5"/>
  <c r="H140" i="5"/>
  <c r="H118" i="5"/>
  <c r="H97" i="5"/>
  <c r="H76" i="5"/>
  <c r="H54" i="5"/>
  <c r="H170" i="5"/>
  <c r="H149" i="5"/>
  <c r="H128" i="5"/>
  <c r="H106" i="5"/>
  <c r="H85" i="5"/>
  <c r="H64" i="5"/>
  <c r="H38" i="5"/>
  <c r="H148" i="5"/>
  <c r="H110" i="5"/>
  <c r="H62" i="5"/>
  <c r="H173" i="5"/>
  <c r="H152" i="5"/>
  <c r="H130" i="5"/>
  <c r="H109" i="5"/>
  <c r="H88" i="5"/>
  <c r="H66" i="5"/>
  <c r="H42" i="5"/>
  <c r="H163" i="5"/>
  <c r="H147" i="5"/>
  <c r="H131" i="5"/>
  <c r="H115" i="5"/>
  <c r="H99" i="5"/>
  <c r="H83" i="5"/>
  <c r="H67" i="5"/>
  <c r="H51" i="5"/>
  <c r="H35" i="5"/>
  <c r="H45" i="5"/>
  <c r="H164" i="5"/>
  <c r="H116" i="5"/>
  <c r="H78" i="5"/>
  <c r="H172" i="5"/>
  <c r="H150" i="5"/>
  <c r="H129" i="5"/>
  <c r="H108" i="5"/>
  <c r="H86" i="5"/>
  <c r="H65" i="5"/>
  <c r="H40" i="5"/>
  <c r="H160" i="5"/>
  <c r="H138" i="5"/>
  <c r="H117" i="5"/>
  <c r="H96" i="5"/>
  <c r="H74" i="5"/>
  <c r="H53" i="5"/>
  <c r="H169" i="5"/>
  <c r="H126" i="5"/>
  <c r="H84" i="5"/>
  <c r="H36" i="5"/>
  <c r="H162" i="5"/>
  <c r="H141" i="5"/>
  <c r="H120" i="5"/>
  <c r="H98" i="5"/>
  <c r="H77" i="5"/>
  <c r="H56" i="5"/>
  <c r="H171" i="5"/>
  <c r="H155" i="5"/>
  <c r="H139" i="5"/>
  <c r="H123" i="5"/>
  <c r="H107" i="5"/>
  <c r="H91" i="5"/>
  <c r="H75" i="5"/>
  <c r="H59" i="5"/>
  <c r="H43" i="5"/>
  <c r="H27" i="5"/>
  <c r="H37" i="5"/>
  <c r="H29" i="5"/>
  <c r="AJ8" i="18"/>
  <c r="AJ32" i="18" s="1"/>
  <c r="AK32" i="18" s="1"/>
  <c r="G53" i="6"/>
  <c r="AP8" i="18" s="1"/>
  <c r="I3" i="5"/>
  <c r="I41" i="5" s="1"/>
  <c r="H67" i="6"/>
  <c r="I10" i="5"/>
  <c r="I12" i="5"/>
  <c r="I15" i="5"/>
  <c r="I14" i="5"/>
  <c r="I13" i="5"/>
  <c r="F95" i="7"/>
  <c r="F53" i="9"/>
  <c r="F35" i="7"/>
  <c r="I9" i="5"/>
  <c r="F52" i="7"/>
  <c r="I11" i="5"/>
  <c r="F80" i="7"/>
  <c r="F107" i="9"/>
  <c r="F63" i="10"/>
  <c r="F37" i="9"/>
  <c r="F74" i="9"/>
  <c r="F110" i="9"/>
  <c r="G12" i="6"/>
  <c r="F39" i="7"/>
  <c r="F46" i="7"/>
  <c r="F58" i="7"/>
  <c r="F86" i="7"/>
  <c r="F100" i="7"/>
  <c r="F92" i="7"/>
  <c r="F34" i="7"/>
  <c r="F53" i="7"/>
  <c r="F65" i="7"/>
  <c r="F93" i="7"/>
  <c r="F44" i="7"/>
  <c r="F55" i="7"/>
  <c r="F83" i="7"/>
  <c r="G7" i="10"/>
  <c r="G74" i="10" s="1"/>
  <c r="G7" i="7"/>
  <c r="G101" i="7" s="1"/>
  <c r="G7" i="9"/>
  <c r="G106" i="9" s="1"/>
  <c r="F55" i="9"/>
  <c r="F78" i="9"/>
  <c r="F45" i="9"/>
  <c r="L8" i="14"/>
  <c r="O21" i="14" s="1"/>
  <c r="G17" i="22"/>
  <c r="L3" i="14"/>
  <c r="O16" i="14" s="1"/>
  <c r="G177" i="12"/>
  <c r="G123" i="12"/>
  <c r="G171" i="12"/>
  <c r="G168" i="12"/>
  <c r="G113" i="12"/>
  <c r="G32" i="12"/>
  <c r="G31" i="12"/>
  <c r="G56" i="12"/>
  <c r="G95" i="12"/>
  <c r="G72" i="12"/>
  <c r="G186" i="12"/>
  <c r="G119" i="12"/>
  <c r="G185" i="12"/>
  <c r="G175" i="12"/>
  <c r="G57" i="12"/>
  <c r="G55" i="12"/>
  <c r="G108" i="12"/>
  <c r="G176" i="12"/>
  <c r="G160" i="12"/>
  <c r="G159" i="12"/>
  <c r="G188" i="12"/>
  <c r="G44" i="12"/>
  <c r="G104" i="12"/>
  <c r="G93" i="12"/>
  <c r="G90" i="12"/>
  <c r="G60" i="12"/>
  <c r="G127" i="12"/>
  <c r="G179" i="12"/>
  <c r="G163" i="12"/>
  <c r="G143" i="12"/>
  <c r="G134" i="12"/>
  <c r="G37" i="12"/>
  <c r="G80" i="12"/>
  <c r="G46" i="12"/>
  <c r="G91" i="12"/>
  <c r="G58" i="12"/>
  <c r="G120" i="12"/>
  <c r="G142" i="12"/>
  <c r="G162" i="12"/>
  <c r="G165" i="12"/>
  <c r="G105" i="12"/>
  <c r="G65" i="12"/>
  <c r="G184" i="12"/>
  <c r="G155" i="12"/>
  <c r="G133" i="12"/>
  <c r="G180" i="12"/>
  <c r="G49" i="12"/>
  <c r="G35" i="12"/>
  <c r="G101" i="12"/>
  <c r="G141" i="12"/>
  <c r="G187" i="12"/>
  <c r="G144" i="12"/>
  <c r="G146" i="12"/>
  <c r="G42" i="12"/>
  <c r="G41" i="12"/>
  <c r="G51" i="12"/>
  <c r="G79" i="12"/>
  <c r="G75" i="12"/>
  <c r="G107" i="12"/>
  <c r="G156" i="12"/>
  <c r="G137" i="12"/>
  <c r="G149" i="12"/>
  <c r="G33" i="12"/>
  <c r="G92" i="12"/>
  <c r="G99" i="12"/>
  <c r="G129" i="12"/>
  <c r="G131" i="12"/>
  <c r="G140" i="12"/>
  <c r="G166" i="12"/>
  <c r="G45" i="12"/>
  <c r="G36" i="12"/>
  <c r="G53" i="12"/>
  <c r="G76" i="12"/>
  <c r="G78" i="12"/>
  <c r="G130" i="12"/>
  <c r="G126" i="12"/>
  <c r="G62" i="12"/>
  <c r="G110" i="12"/>
  <c r="G38" i="12"/>
  <c r="G167" i="12"/>
  <c r="G43" i="12"/>
  <c r="G89" i="12"/>
  <c r="G154" i="12"/>
  <c r="G97" i="12"/>
  <c r="G164" i="12"/>
  <c r="G118" i="12"/>
  <c r="G114" i="12"/>
  <c r="G96" i="12"/>
  <c r="G71" i="12"/>
  <c r="G183" i="12"/>
  <c r="G30" i="12"/>
  <c r="G106" i="12"/>
  <c r="G170" i="12"/>
  <c r="G169" i="12"/>
  <c r="G50" i="12"/>
  <c r="G111" i="12"/>
  <c r="G147" i="12"/>
  <c r="G77" i="12"/>
  <c r="G174" i="12"/>
  <c r="G84" i="12"/>
  <c r="G181" i="12"/>
  <c r="G115" i="12"/>
  <c r="G66" i="12"/>
  <c r="G153" i="12"/>
  <c r="G102" i="12"/>
  <c r="G158" i="12"/>
  <c r="G178" i="12"/>
  <c r="G67" i="12"/>
  <c r="G94" i="12"/>
  <c r="G54" i="12"/>
  <c r="G151" i="12"/>
  <c r="G100" i="12"/>
  <c r="G124" i="12"/>
  <c r="G182" i="12"/>
  <c r="G39" i="12"/>
  <c r="G98" i="12"/>
  <c r="G83" i="12"/>
  <c r="G173" i="12"/>
  <c r="G63" i="12"/>
  <c r="G125" i="12"/>
  <c r="G86" i="12"/>
  <c r="G138" i="12"/>
  <c r="G87" i="12"/>
  <c r="G59" i="12"/>
  <c r="G70" i="12"/>
  <c r="G73" i="12"/>
  <c r="G128" i="12"/>
  <c r="G157" i="12"/>
  <c r="G34" i="12"/>
  <c r="G103" i="12"/>
  <c r="G109" i="12"/>
  <c r="G117" i="12"/>
  <c r="G88" i="12"/>
  <c r="G172" i="12"/>
  <c r="G132" i="12"/>
  <c r="G47" i="12"/>
  <c r="G81" i="12"/>
  <c r="G82" i="12"/>
  <c r="G145" i="12"/>
  <c r="G48" i="12"/>
  <c r="G64" i="12"/>
  <c r="G122" i="12"/>
  <c r="G135" i="12"/>
  <c r="G40" i="12"/>
  <c r="G136" i="12"/>
  <c r="G69" i="12"/>
  <c r="G112" i="12"/>
  <c r="G150" i="12"/>
  <c r="G148" i="12"/>
  <c r="G61" i="12"/>
  <c r="G74" i="12"/>
  <c r="G139" i="12"/>
  <c r="G152" i="12"/>
  <c r="G68" i="12"/>
  <c r="G161" i="12"/>
  <c r="G121" i="12"/>
  <c r="G52" i="12"/>
  <c r="G85" i="12"/>
  <c r="G116" i="12"/>
  <c r="H14" i="6"/>
  <c r="I120" i="6" s="1"/>
  <c r="H13" i="6"/>
  <c r="I119" i="6" s="1"/>
  <c r="H15" i="6"/>
  <c r="I121" i="6" s="1"/>
  <c r="I10" i="6"/>
  <c r="J10" i="6" s="1"/>
  <c r="H5" i="22"/>
  <c r="H3" i="7"/>
  <c r="H3" i="13"/>
  <c r="G98" i="6"/>
  <c r="H3" i="10"/>
  <c r="H19" i="6"/>
  <c r="H3" i="9"/>
  <c r="H3" i="12"/>
  <c r="G73" i="6"/>
  <c r="L9" i="14" s="1"/>
  <c r="O22" i="14" s="1"/>
  <c r="F50" i="9"/>
  <c r="F49" i="9"/>
  <c r="F79" i="9"/>
  <c r="G31" i="13"/>
  <c r="G33" i="13"/>
  <c r="G35" i="13"/>
  <c r="G32" i="13"/>
  <c r="G34" i="13"/>
  <c r="F40" i="9"/>
  <c r="F62" i="9"/>
  <c r="F58" i="9"/>
  <c r="F118" i="9"/>
  <c r="F76" i="7"/>
  <c r="F79" i="7"/>
  <c r="F82" i="7"/>
  <c r="F89" i="7"/>
  <c r="F88" i="7"/>
  <c r="F91" i="7"/>
  <c r="F94" i="7"/>
  <c r="F101" i="7"/>
  <c r="F33" i="7"/>
  <c r="F41" i="7"/>
  <c r="F40" i="7"/>
  <c r="F42" i="7"/>
  <c r="F49" i="7"/>
  <c r="F64" i="7"/>
  <c r="F67" i="7"/>
  <c r="F70" i="7"/>
  <c r="F77" i="7"/>
  <c r="F53" i="10"/>
  <c r="F98" i="9"/>
  <c r="F35" i="9"/>
  <c r="F75" i="10"/>
  <c r="F91" i="9"/>
  <c r="F82" i="9"/>
  <c r="F80" i="9"/>
  <c r="F75" i="9"/>
  <c r="F76" i="9"/>
  <c r="F59" i="9"/>
  <c r="F114" i="9"/>
  <c r="F56" i="9"/>
  <c r="F86" i="9"/>
  <c r="F104" i="9"/>
  <c r="F60" i="7"/>
  <c r="F63" i="7"/>
  <c r="F66" i="7"/>
  <c r="F73" i="7"/>
  <c r="F72" i="7"/>
  <c r="F75" i="7"/>
  <c r="F78" i="7"/>
  <c r="F85" i="7"/>
  <c r="F84" i="7"/>
  <c r="F87" i="7"/>
  <c r="F90" i="7"/>
  <c r="F97" i="7"/>
  <c r="F36" i="7"/>
  <c r="F48" i="7"/>
  <c r="F51" i="7"/>
  <c r="F54" i="7"/>
  <c r="F61" i="7"/>
  <c r="F63" i="9"/>
  <c r="F39" i="9"/>
  <c r="F83" i="9"/>
  <c r="F67" i="9"/>
  <c r="F109" i="9"/>
  <c r="F73" i="9"/>
  <c r="F92" i="10"/>
  <c r="F65" i="10"/>
  <c r="F117" i="9"/>
  <c r="F66" i="9"/>
  <c r="F100" i="9"/>
  <c r="F64" i="9"/>
  <c r="F103" i="9"/>
  <c r="F97" i="9"/>
  <c r="F60" i="9"/>
  <c r="F87" i="9"/>
  <c r="F93" i="9"/>
  <c r="F70" i="9"/>
  <c r="F31" i="7"/>
  <c r="F43" i="7"/>
  <c r="F47" i="7"/>
  <c r="F50" i="7"/>
  <c r="F57" i="7"/>
  <c r="F56" i="7"/>
  <c r="F59" i="7"/>
  <c r="F62" i="7"/>
  <c r="F69" i="7"/>
  <c r="F68" i="7"/>
  <c r="F71" i="7"/>
  <c r="F74" i="7"/>
  <c r="F81" i="7"/>
  <c r="F96" i="7"/>
  <c r="F99" i="7"/>
  <c r="F37" i="7"/>
  <c r="F38" i="7"/>
  <c r="F64" i="10"/>
  <c r="F58" i="10"/>
  <c r="F76" i="10"/>
  <c r="F70" i="10"/>
  <c r="F90" i="10"/>
  <c r="F78" i="10"/>
  <c r="F48" i="10"/>
  <c r="F42" i="10"/>
  <c r="F60" i="10"/>
  <c r="F54" i="10"/>
  <c r="F85" i="10"/>
  <c r="F91" i="10"/>
  <c r="F47" i="10"/>
  <c r="F96" i="10"/>
  <c r="F59" i="10"/>
  <c r="F49" i="10"/>
  <c r="F55" i="10"/>
  <c r="F80" i="10"/>
  <c r="F79" i="10"/>
  <c r="F74" i="10"/>
  <c r="F69" i="10"/>
  <c r="F89" i="10"/>
  <c r="F95" i="10"/>
  <c r="F100" i="10"/>
  <c r="F81" i="10"/>
  <c r="F88" i="10"/>
  <c r="F31" i="10"/>
  <c r="F32" i="10"/>
  <c r="F84" i="10"/>
  <c r="F93" i="10"/>
  <c r="F36" i="10"/>
  <c r="F37" i="10"/>
  <c r="F99" i="10"/>
  <c r="F87" i="10"/>
  <c r="F44" i="10"/>
  <c r="F43" i="10"/>
  <c r="F33" i="10"/>
  <c r="F40" i="10"/>
  <c r="F56" i="10"/>
  <c r="F39" i="10"/>
  <c r="F73" i="10"/>
  <c r="F34" i="9"/>
  <c r="F50" i="10"/>
  <c r="F83" i="10"/>
  <c r="F57" i="10"/>
  <c r="F85" i="9"/>
  <c r="F113" i="9"/>
  <c r="F48" i="9"/>
  <c r="F111" i="9"/>
  <c r="F102" i="9"/>
  <c r="F46" i="9"/>
  <c r="F81" i="9"/>
  <c r="F121" i="9"/>
  <c r="F44" i="9"/>
  <c r="F95" i="9"/>
  <c r="F112" i="9"/>
  <c r="F42" i="9"/>
  <c r="F77" i="9"/>
  <c r="F88" i="9"/>
  <c r="F32" i="9"/>
  <c r="F43" i="9"/>
  <c r="F38" i="9"/>
  <c r="F57" i="9"/>
  <c r="F45" i="10"/>
  <c r="F67" i="10"/>
  <c r="F69" i="9"/>
  <c r="F96" i="9"/>
  <c r="F33" i="9"/>
  <c r="F47" i="9"/>
  <c r="F94" i="9"/>
  <c r="F119" i="9"/>
  <c r="F65" i="9"/>
  <c r="F92" i="9"/>
  <c r="F101" i="9"/>
  <c r="F36" i="9"/>
  <c r="F90" i="9"/>
  <c r="F115" i="9"/>
  <c r="F61" i="9"/>
  <c r="F72" i="9"/>
  <c r="F99" i="9"/>
  <c r="F105" i="9"/>
  <c r="F106" i="9"/>
  <c r="F108" i="9"/>
  <c r="F35" i="10"/>
  <c r="F68" i="10"/>
  <c r="F62" i="10"/>
  <c r="F84" i="9"/>
  <c r="F19" i="22"/>
  <c r="M69" i="6"/>
  <c r="K5" i="14"/>
  <c r="N18" i="14" s="1"/>
  <c r="F190" i="12"/>
  <c r="F26" i="6" s="1"/>
  <c r="F42" i="6"/>
  <c r="F82" i="10"/>
  <c r="F77" i="10"/>
  <c r="F94" i="10"/>
  <c r="F52" i="10"/>
  <c r="F51" i="10"/>
  <c r="F46" i="10"/>
  <c r="F97" i="10"/>
  <c r="K8" i="14"/>
  <c r="N21" i="14" s="1"/>
  <c r="F31" i="9"/>
  <c r="F68" i="9"/>
  <c r="M71" i="6"/>
  <c r="K7" i="14"/>
  <c r="N20" i="14" s="1"/>
  <c r="F21" i="22"/>
  <c r="F72" i="10"/>
  <c r="F71" i="10"/>
  <c r="F66" i="10"/>
  <c r="F61" i="10"/>
  <c r="F86" i="10"/>
  <c r="F34" i="10"/>
  <c r="F41" i="10"/>
  <c r="F38" i="10"/>
  <c r="K6" i="14"/>
  <c r="N19" i="14" s="1"/>
  <c r="F20" i="22"/>
  <c r="M70" i="6"/>
  <c r="F116" i="9"/>
  <c r="F41" i="9"/>
  <c r="F51" i="9"/>
  <c r="F71" i="9"/>
  <c r="F54" i="9"/>
  <c r="F89" i="9"/>
  <c r="F120" i="9"/>
  <c r="K9" i="14"/>
  <c r="N22" i="14" s="1"/>
  <c r="H52" i="13" l="1"/>
  <c r="H68" i="13"/>
  <c r="H84" i="13"/>
  <c r="H100" i="13"/>
  <c r="H67" i="13"/>
  <c r="H83" i="13"/>
  <c r="H99" i="13"/>
  <c r="H66" i="13"/>
  <c r="H94" i="13"/>
  <c r="H69" i="13"/>
  <c r="H101" i="13"/>
  <c r="H90" i="13"/>
  <c r="H77" i="13"/>
  <c r="H56" i="13"/>
  <c r="H72" i="13"/>
  <c r="H88" i="13"/>
  <c r="H55" i="13"/>
  <c r="H71" i="13"/>
  <c r="H87" i="13"/>
  <c r="H103" i="13"/>
  <c r="H74" i="13"/>
  <c r="H98" i="13"/>
  <c r="H73" i="13"/>
  <c r="H54" i="13"/>
  <c r="H102" i="13"/>
  <c r="H81" i="13"/>
  <c r="H60" i="13"/>
  <c r="H76" i="13"/>
  <c r="H92" i="13"/>
  <c r="H59" i="13"/>
  <c r="H75" i="13"/>
  <c r="H91" i="13"/>
  <c r="H58" i="13"/>
  <c r="H78" i="13"/>
  <c r="H53" i="13"/>
  <c r="H85" i="13"/>
  <c r="H70" i="13"/>
  <c r="H57" i="13"/>
  <c r="H89" i="13"/>
  <c r="H64" i="13"/>
  <c r="H80" i="13"/>
  <c r="H96" i="13"/>
  <c r="H63" i="13"/>
  <c r="H79" i="13"/>
  <c r="H95" i="13"/>
  <c r="H62" i="13"/>
  <c r="H86" i="13"/>
  <c r="H61" i="13"/>
  <c r="H93" i="13"/>
  <c r="H82" i="13"/>
  <c r="H65" i="13"/>
  <c r="H97" i="13"/>
  <c r="G7" i="12"/>
  <c r="H7" i="5"/>
  <c r="I164" i="5"/>
  <c r="I171" i="5"/>
  <c r="AJ36" i="18"/>
  <c r="I36" i="5"/>
  <c r="I107" i="5"/>
  <c r="I58" i="5"/>
  <c r="I129" i="5"/>
  <c r="F8" i="7"/>
  <c r="F39" i="6" s="1"/>
  <c r="I150" i="5"/>
  <c r="I43" i="5"/>
  <c r="I72" i="5"/>
  <c r="I68" i="5"/>
  <c r="I90" i="5"/>
  <c r="I32" i="5"/>
  <c r="I54" i="5"/>
  <c r="I123" i="5"/>
  <c r="I59" i="5"/>
  <c r="I145" i="5"/>
  <c r="I132" i="5"/>
  <c r="I154" i="5"/>
  <c r="I160" i="5"/>
  <c r="I118" i="5"/>
  <c r="I155" i="5"/>
  <c r="I91" i="5"/>
  <c r="I27" i="5"/>
  <c r="I113" i="5"/>
  <c r="I144" i="5"/>
  <c r="I100" i="5"/>
  <c r="I122" i="5"/>
  <c r="I96" i="5"/>
  <c r="I86" i="5"/>
  <c r="I139" i="5"/>
  <c r="I75" i="5"/>
  <c r="I161" i="5"/>
  <c r="I152" i="5"/>
  <c r="I88" i="5"/>
  <c r="I172" i="5"/>
  <c r="I140" i="5"/>
  <c r="I108" i="5"/>
  <c r="I76" i="5"/>
  <c r="I44" i="5"/>
  <c r="I162" i="5"/>
  <c r="I130" i="5"/>
  <c r="I98" i="5"/>
  <c r="I66" i="5"/>
  <c r="I34" i="5"/>
  <c r="I112" i="5"/>
  <c r="I48" i="5"/>
  <c r="I158" i="5"/>
  <c r="I126" i="5"/>
  <c r="I94" i="5"/>
  <c r="I62" i="5"/>
  <c r="I30" i="5"/>
  <c r="I159" i="5"/>
  <c r="I143" i="5"/>
  <c r="I127" i="5"/>
  <c r="I111" i="5"/>
  <c r="I95" i="5"/>
  <c r="I79" i="5"/>
  <c r="I63" i="5"/>
  <c r="I47" i="5"/>
  <c r="I31" i="5"/>
  <c r="I165" i="5"/>
  <c r="I149" i="5"/>
  <c r="I133" i="5"/>
  <c r="I117" i="5"/>
  <c r="I101" i="5"/>
  <c r="I85" i="5"/>
  <c r="I69" i="5"/>
  <c r="I53" i="5"/>
  <c r="I37" i="5"/>
  <c r="I97" i="5"/>
  <c r="I81" i="5"/>
  <c r="I65" i="5"/>
  <c r="I49" i="5"/>
  <c r="I33" i="5"/>
  <c r="I120" i="5"/>
  <c r="I56" i="5"/>
  <c r="I156" i="5"/>
  <c r="I124" i="5"/>
  <c r="I92" i="5"/>
  <c r="I60" i="5"/>
  <c r="I28" i="5"/>
  <c r="I146" i="5"/>
  <c r="I114" i="5"/>
  <c r="I82" i="5"/>
  <c r="I50" i="5"/>
  <c r="I136" i="5"/>
  <c r="I80" i="5"/>
  <c r="I174" i="5"/>
  <c r="I142" i="5"/>
  <c r="I110" i="5"/>
  <c r="I78" i="5"/>
  <c r="I46" i="5"/>
  <c r="I167" i="5"/>
  <c r="I151" i="5"/>
  <c r="I135" i="5"/>
  <c r="I119" i="5"/>
  <c r="I103" i="5"/>
  <c r="I87" i="5"/>
  <c r="I71" i="5"/>
  <c r="I55" i="5"/>
  <c r="I39" i="5"/>
  <c r="I173" i="5"/>
  <c r="I157" i="5"/>
  <c r="I141" i="5"/>
  <c r="I125" i="5"/>
  <c r="I109" i="5"/>
  <c r="I93" i="5"/>
  <c r="I77" i="5"/>
  <c r="I61" i="5"/>
  <c r="I45" i="5"/>
  <c r="I29" i="5"/>
  <c r="I168" i="5"/>
  <c r="I104" i="5"/>
  <c r="I40" i="5"/>
  <c r="I148" i="5"/>
  <c r="I116" i="5"/>
  <c r="I84" i="5"/>
  <c r="I52" i="5"/>
  <c r="I170" i="5"/>
  <c r="I138" i="5"/>
  <c r="I106" i="5"/>
  <c r="I74" i="5"/>
  <c r="I42" i="5"/>
  <c r="I128" i="5"/>
  <c r="I64" i="5"/>
  <c r="I166" i="5"/>
  <c r="I134" i="5"/>
  <c r="I102" i="5"/>
  <c r="I70" i="5"/>
  <c r="I38" i="5"/>
  <c r="I163" i="5"/>
  <c r="I147" i="5"/>
  <c r="I131" i="5"/>
  <c r="I115" i="5"/>
  <c r="I99" i="5"/>
  <c r="I83" i="5"/>
  <c r="I67" i="5"/>
  <c r="I51" i="5"/>
  <c r="I35" i="5"/>
  <c r="I169" i="5"/>
  <c r="I153" i="5"/>
  <c r="I137" i="5"/>
  <c r="I121" i="5"/>
  <c r="I105" i="5"/>
  <c r="I89" i="5"/>
  <c r="I73" i="5"/>
  <c r="I57" i="5"/>
  <c r="J3" i="5"/>
  <c r="J31" i="5" s="1"/>
  <c r="AZ1" i="18"/>
  <c r="AQ32" i="18"/>
  <c r="AR32" i="18" s="1"/>
  <c r="AQ36" i="18"/>
  <c r="AR36" i="18" s="1"/>
  <c r="AR34" i="18" s="1"/>
  <c r="AQ40" i="18"/>
  <c r="AR40" i="18" s="1"/>
  <c r="AR38" i="18" s="1"/>
  <c r="I67" i="6"/>
  <c r="H175" i="5"/>
  <c r="G87" i="7"/>
  <c r="G34" i="7"/>
  <c r="G94" i="7"/>
  <c r="G79" i="7"/>
  <c r="G40" i="7"/>
  <c r="G55" i="7"/>
  <c r="G68" i="7"/>
  <c r="G86" i="7"/>
  <c r="G77" i="7"/>
  <c r="G74" i="7"/>
  <c r="G92" i="7"/>
  <c r="G51" i="7"/>
  <c r="G55" i="9"/>
  <c r="G42" i="7"/>
  <c r="G49" i="7"/>
  <c r="G97" i="7"/>
  <c r="G95" i="7"/>
  <c r="G38" i="7"/>
  <c r="G67" i="7"/>
  <c r="G37" i="7"/>
  <c r="G47" i="7"/>
  <c r="G76" i="7"/>
  <c r="G44" i="7"/>
  <c r="G78" i="7"/>
  <c r="G85" i="7"/>
  <c r="G45" i="7"/>
  <c r="G116" i="9"/>
  <c r="G87" i="9"/>
  <c r="G39" i="7"/>
  <c r="G90" i="7"/>
  <c r="G71" i="7"/>
  <c r="G64" i="7"/>
  <c r="G82" i="7"/>
  <c r="G70" i="7"/>
  <c r="G91" i="7"/>
  <c r="G80" i="7"/>
  <c r="G81" i="7"/>
  <c r="G43" i="7"/>
  <c r="G72" i="7"/>
  <c r="G59" i="7"/>
  <c r="G53" i="7"/>
  <c r="G73" i="10"/>
  <c r="G117" i="9"/>
  <c r="G48" i="7"/>
  <c r="G61" i="7"/>
  <c r="G33" i="7"/>
  <c r="G54" i="7"/>
  <c r="G35" i="7"/>
  <c r="G65" i="7"/>
  <c r="G36" i="7"/>
  <c r="G63" i="7"/>
  <c r="G93" i="7"/>
  <c r="G56" i="7"/>
  <c r="G57" i="7"/>
  <c r="G60" i="7"/>
  <c r="G46" i="7"/>
  <c r="G85" i="10"/>
  <c r="G73" i="7"/>
  <c r="G89" i="7"/>
  <c r="G75" i="7"/>
  <c r="G62" i="7"/>
  <c r="G118" i="9"/>
  <c r="G100" i="7"/>
  <c r="G58" i="7"/>
  <c r="G41" i="7"/>
  <c r="G31" i="7"/>
  <c r="G50" i="7"/>
  <c r="G88" i="7"/>
  <c r="G99" i="7"/>
  <c r="G96" i="7"/>
  <c r="G83" i="7"/>
  <c r="G32" i="10"/>
  <c r="G52" i="10"/>
  <c r="G41" i="10"/>
  <c r="G58" i="10"/>
  <c r="G66" i="7"/>
  <c r="G56" i="10"/>
  <c r="G51" i="10"/>
  <c r="G81" i="10"/>
  <c r="G79" i="10"/>
  <c r="G57" i="10"/>
  <c r="G67" i="10"/>
  <c r="G69" i="7"/>
  <c r="G52" i="7"/>
  <c r="G84" i="7"/>
  <c r="G59" i="10"/>
  <c r="G35" i="9"/>
  <c r="G57" i="9"/>
  <c r="G66" i="9"/>
  <c r="G70" i="9"/>
  <c r="G103" i="9"/>
  <c r="G50" i="9"/>
  <c r="G77" i="9"/>
  <c r="G85" i="9"/>
  <c r="G95" i="9"/>
  <c r="G91" i="9"/>
  <c r="G65" i="9"/>
  <c r="G82" i="9"/>
  <c r="G37" i="10"/>
  <c r="G40" i="10"/>
  <c r="G121" i="9"/>
  <c r="G100" i="9"/>
  <c r="G110" i="9"/>
  <c r="G63" i="9"/>
  <c r="G98" i="9"/>
  <c r="G70" i="10"/>
  <c r="G43" i="10"/>
  <c r="G84" i="9"/>
  <c r="G80" i="9"/>
  <c r="G48" i="9"/>
  <c r="G113" i="9"/>
  <c r="G41" i="9"/>
  <c r="G31" i="9"/>
  <c r="G58" i="9"/>
  <c r="G51" i="9"/>
  <c r="G59" i="9"/>
  <c r="G79" i="9"/>
  <c r="G73" i="9"/>
  <c r="G104" i="9"/>
  <c r="G42" i="9"/>
  <c r="G38" i="9"/>
  <c r="G40" i="9"/>
  <c r="G39" i="9"/>
  <c r="G93" i="9"/>
  <c r="G92" i="9"/>
  <c r="G75" i="9"/>
  <c r="G96" i="9"/>
  <c r="G99" i="9"/>
  <c r="G111" i="9"/>
  <c r="G89" i="10"/>
  <c r="G94" i="10"/>
  <c r="G100" i="10"/>
  <c r="G91" i="10"/>
  <c r="G42" i="10"/>
  <c r="G44" i="10"/>
  <c r="G97" i="10"/>
  <c r="G65" i="10"/>
  <c r="G64" i="10"/>
  <c r="G46" i="10"/>
  <c r="G38" i="10"/>
  <c r="G68" i="10"/>
  <c r="G93" i="10"/>
  <c r="G62" i="10"/>
  <c r="G31" i="10"/>
  <c r="G80" i="10"/>
  <c r="G88" i="10"/>
  <c r="G44" i="9"/>
  <c r="G49" i="9"/>
  <c r="G112" i="9"/>
  <c r="G108" i="9"/>
  <c r="G53" i="9"/>
  <c r="G69" i="9"/>
  <c r="G97" i="9"/>
  <c r="G109" i="9"/>
  <c r="G102" i="9"/>
  <c r="G107" i="9"/>
  <c r="G62" i="9"/>
  <c r="G101" i="9"/>
  <c r="G72" i="9"/>
  <c r="G94" i="9"/>
  <c r="G45" i="9"/>
  <c r="G56" i="9"/>
  <c r="G89" i="9"/>
  <c r="G52" i="9"/>
  <c r="G36" i="9"/>
  <c r="G120" i="9"/>
  <c r="G78" i="9"/>
  <c r="G88" i="9"/>
  <c r="G119" i="9"/>
  <c r="G82" i="10"/>
  <c r="G69" i="10"/>
  <c r="G53" i="10"/>
  <c r="G39" i="10"/>
  <c r="G98" i="10"/>
  <c r="G86" i="10"/>
  <c r="G77" i="10"/>
  <c r="G84" i="10"/>
  <c r="G54" i="10"/>
  <c r="G47" i="10"/>
  <c r="G71" i="10"/>
  <c r="G83" i="10"/>
  <c r="G95" i="10"/>
  <c r="G75" i="10"/>
  <c r="G99" i="10"/>
  <c r="G78" i="10"/>
  <c r="G49" i="10"/>
  <c r="G96" i="10"/>
  <c r="G114" i="9"/>
  <c r="G76" i="9"/>
  <c r="G64" i="9"/>
  <c r="G115" i="9"/>
  <c r="G37" i="9"/>
  <c r="G68" i="9"/>
  <c r="G43" i="9"/>
  <c r="G34" i="9"/>
  <c r="G67" i="9"/>
  <c r="G46" i="9"/>
  <c r="G32" i="9"/>
  <c r="G83" i="9"/>
  <c r="G105" i="9"/>
  <c r="G74" i="9"/>
  <c r="G54" i="9"/>
  <c r="G33" i="9"/>
  <c r="G60" i="9"/>
  <c r="G61" i="9"/>
  <c r="G81" i="9"/>
  <c r="G86" i="9"/>
  <c r="G47" i="9"/>
  <c r="G90" i="9"/>
  <c r="G71" i="9"/>
  <c r="G63" i="10"/>
  <c r="G34" i="10"/>
  <c r="G61" i="10"/>
  <c r="G33" i="10"/>
  <c r="G76" i="10"/>
  <c r="G45" i="10"/>
  <c r="G35" i="10"/>
  <c r="G48" i="10"/>
  <c r="G66" i="10"/>
  <c r="G92" i="10"/>
  <c r="G90" i="10"/>
  <c r="G55" i="10"/>
  <c r="G87" i="10"/>
  <c r="G60" i="10"/>
  <c r="G72" i="10"/>
  <c r="G36" i="10"/>
  <c r="G50" i="10"/>
  <c r="G19" i="22"/>
  <c r="L5" i="14"/>
  <c r="O18" i="14" s="1"/>
  <c r="H73" i="6"/>
  <c r="M9" i="14" s="1"/>
  <c r="P22" i="14" s="1"/>
  <c r="H53" i="6"/>
  <c r="AT8" i="18" s="1"/>
  <c r="AT36" i="18" s="1"/>
  <c r="AU36" i="18" s="1"/>
  <c r="G115" i="6"/>
  <c r="E46" i="22"/>
  <c r="D53" i="22" s="1"/>
  <c r="I15" i="6"/>
  <c r="J121" i="6" s="1"/>
  <c r="I14" i="6"/>
  <c r="J120" i="6" s="1"/>
  <c r="I13" i="6"/>
  <c r="J119" i="6" s="1"/>
  <c r="I3" i="12"/>
  <c r="I3" i="7"/>
  <c r="I3" i="9"/>
  <c r="I3" i="13"/>
  <c r="I5" i="22"/>
  <c r="I3" i="10"/>
  <c r="I19" i="6"/>
  <c r="G20" i="22"/>
  <c r="L6" i="14"/>
  <c r="O19" i="14" s="1"/>
  <c r="H7" i="10"/>
  <c r="H41" i="10" s="1"/>
  <c r="G190" i="12"/>
  <c r="G26" i="6" s="1"/>
  <c r="G42" i="6"/>
  <c r="L7" i="14"/>
  <c r="O20" i="14" s="1"/>
  <c r="G21" i="22"/>
  <c r="F103" i="7"/>
  <c r="H160" i="12"/>
  <c r="H173" i="12"/>
  <c r="H183" i="12"/>
  <c r="H129" i="12"/>
  <c r="H146" i="12"/>
  <c r="H138" i="12"/>
  <c r="H117" i="12"/>
  <c r="H39" i="12"/>
  <c r="H57" i="12"/>
  <c r="H68" i="12"/>
  <c r="H72" i="12"/>
  <c r="H54" i="12"/>
  <c r="H140" i="12"/>
  <c r="H184" i="12"/>
  <c r="H80" i="12"/>
  <c r="H65" i="12"/>
  <c r="H187" i="12"/>
  <c r="H60" i="12"/>
  <c r="H169" i="12"/>
  <c r="H97" i="12"/>
  <c r="H143" i="12"/>
  <c r="H126" i="12"/>
  <c r="H156" i="12"/>
  <c r="H155" i="12"/>
  <c r="H134" i="12"/>
  <c r="H151" i="12"/>
  <c r="H182" i="12"/>
  <c r="H62" i="12"/>
  <c r="H34" i="12"/>
  <c r="H154" i="12"/>
  <c r="H180" i="12"/>
  <c r="H168" i="12"/>
  <c r="H135" i="12"/>
  <c r="H159" i="12"/>
  <c r="H144" i="12"/>
  <c r="H163" i="12"/>
  <c r="H32" i="12"/>
  <c r="H81" i="12"/>
  <c r="H75" i="12"/>
  <c r="H86" i="12"/>
  <c r="H58" i="12"/>
  <c r="H141" i="12"/>
  <c r="H35" i="12"/>
  <c r="H90" i="12"/>
  <c r="H46" i="12"/>
  <c r="H30" i="12"/>
  <c r="H66" i="12"/>
  <c r="H166" i="12"/>
  <c r="H79" i="12"/>
  <c r="H178" i="12"/>
  <c r="H162" i="12"/>
  <c r="H128" i="12"/>
  <c r="H132" i="12"/>
  <c r="H142" i="12"/>
  <c r="H148" i="12"/>
  <c r="H152" i="12"/>
  <c r="H40" i="12"/>
  <c r="H102" i="12"/>
  <c r="H87" i="12"/>
  <c r="H63" i="12"/>
  <c r="H103" i="12"/>
  <c r="H175" i="12"/>
  <c r="H114" i="12"/>
  <c r="H98" i="12"/>
  <c r="H55" i="12"/>
  <c r="H70" i="12"/>
  <c r="H115" i="12"/>
  <c r="H41" i="12"/>
  <c r="H89" i="12"/>
  <c r="H136" i="12"/>
  <c r="H124" i="12"/>
  <c r="H149" i="12"/>
  <c r="H130" i="12"/>
  <c r="H145" i="12"/>
  <c r="H161" i="12"/>
  <c r="H179" i="12"/>
  <c r="H49" i="12"/>
  <c r="H48" i="12"/>
  <c r="H93" i="12"/>
  <c r="H53" i="12"/>
  <c r="H101" i="12"/>
  <c r="H109" i="12"/>
  <c r="H119" i="12"/>
  <c r="H43" i="12"/>
  <c r="H96" i="12"/>
  <c r="H176" i="12"/>
  <c r="H104" i="12"/>
  <c r="H170" i="12"/>
  <c r="H50" i="12"/>
  <c r="H110" i="12"/>
  <c r="H125" i="12"/>
  <c r="H181" i="12"/>
  <c r="H186" i="12"/>
  <c r="H150" i="12"/>
  <c r="H185" i="12"/>
  <c r="H121" i="12"/>
  <c r="H33" i="12"/>
  <c r="H38" i="12"/>
  <c r="H94" i="12"/>
  <c r="H84" i="12"/>
  <c r="H73" i="12"/>
  <c r="H111" i="12"/>
  <c r="H122" i="12"/>
  <c r="H105" i="12"/>
  <c r="H83" i="12"/>
  <c r="H172" i="12"/>
  <c r="H77" i="12"/>
  <c r="H139" i="12"/>
  <c r="H92" i="12"/>
  <c r="H153" i="12"/>
  <c r="H171" i="12"/>
  <c r="H71" i="12"/>
  <c r="H127" i="12"/>
  <c r="H31" i="12"/>
  <c r="H120" i="12"/>
  <c r="H113" i="12"/>
  <c r="H95" i="12"/>
  <c r="H51" i="12"/>
  <c r="H147" i="12"/>
  <c r="H64" i="12"/>
  <c r="H45" i="12"/>
  <c r="H133" i="12"/>
  <c r="H137" i="12"/>
  <c r="H99" i="12"/>
  <c r="H69" i="12"/>
  <c r="H107" i="12"/>
  <c r="H118" i="12"/>
  <c r="H165" i="12"/>
  <c r="H82" i="12"/>
  <c r="H59" i="12"/>
  <c r="H67" i="12"/>
  <c r="H91" i="12"/>
  <c r="H88" i="12"/>
  <c r="H85" i="12"/>
  <c r="H108" i="12"/>
  <c r="H158" i="12"/>
  <c r="H157" i="12"/>
  <c r="H61" i="12"/>
  <c r="H74" i="12"/>
  <c r="H36" i="12"/>
  <c r="H164" i="12"/>
  <c r="H42" i="12"/>
  <c r="H56" i="12"/>
  <c r="H44" i="12"/>
  <c r="H112" i="12"/>
  <c r="H188" i="12"/>
  <c r="H123" i="12"/>
  <c r="H47" i="12"/>
  <c r="H116" i="12"/>
  <c r="H106" i="12"/>
  <c r="H78" i="12"/>
  <c r="H131" i="12"/>
  <c r="H37" i="12"/>
  <c r="H76" i="12"/>
  <c r="H174" i="12"/>
  <c r="H100" i="12"/>
  <c r="H167" i="12"/>
  <c r="H177" i="12"/>
  <c r="H52" i="12"/>
  <c r="H72" i="6"/>
  <c r="M8" i="14" s="1"/>
  <c r="P21" i="14" s="1"/>
  <c r="H17" i="22"/>
  <c r="M3" i="14"/>
  <c r="P16" i="14" s="1"/>
  <c r="H7" i="7"/>
  <c r="H50" i="7" s="1"/>
  <c r="H12" i="6"/>
  <c r="H31" i="13"/>
  <c r="H33" i="13"/>
  <c r="H32" i="13"/>
  <c r="H34" i="13"/>
  <c r="H35" i="13"/>
  <c r="H7" i="9"/>
  <c r="H105" i="9" s="1"/>
  <c r="F8" i="10"/>
  <c r="F41" i="6" s="1"/>
  <c r="N15" i="14"/>
  <c r="F74" i="6" s="1"/>
  <c r="F102" i="10"/>
  <c r="F8" i="9"/>
  <c r="F40" i="6" s="1"/>
  <c r="F123" i="9"/>
  <c r="AJ40" i="18" l="1"/>
  <c r="AK36" i="18"/>
  <c r="G37" i="6"/>
  <c r="H176" i="5"/>
  <c r="G21" i="6" s="1"/>
  <c r="I53" i="13"/>
  <c r="I69" i="13"/>
  <c r="I85" i="13"/>
  <c r="I101" i="13"/>
  <c r="I66" i="13"/>
  <c r="I82" i="13"/>
  <c r="I98" i="13"/>
  <c r="I60" i="13"/>
  <c r="I76" i="13"/>
  <c r="I92" i="13"/>
  <c r="I59" i="13"/>
  <c r="I75" i="13"/>
  <c r="I91" i="13"/>
  <c r="I57" i="13"/>
  <c r="I73" i="13"/>
  <c r="I89" i="13"/>
  <c r="I54" i="13"/>
  <c r="I70" i="13"/>
  <c r="I86" i="13"/>
  <c r="I102" i="13"/>
  <c r="I64" i="13"/>
  <c r="I80" i="13"/>
  <c r="I96" i="13"/>
  <c r="I63" i="13"/>
  <c r="I79" i="13"/>
  <c r="I95" i="13"/>
  <c r="I61" i="13"/>
  <c r="I77" i="13"/>
  <c r="I93" i="13"/>
  <c r="I58" i="13"/>
  <c r="I74" i="13"/>
  <c r="I90" i="13"/>
  <c r="I52" i="13"/>
  <c r="I68" i="13"/>
  <c r="I84" i="13"/>
  <c r="I100" i="13"/>
  <c r="I67" i="13"/>
  <c r="I83" i="13"/>
  <c r="I99" i="13"/>
  <c r="I65" i="13"/>
  <c r="I81" i="13"/>
  <c r="I97" i="13"/>
  <c r="I62" i="13"/>
  <c r="I78" i="13"/>
  <c r="I94" i="13"/>
  <c r="I56" i="13"/>
  <c r="I72" i="13"/>
  <c r="I88" i="13"/>
  <c r="I55" i="13"/>
  <c r="I71" i="13"/>
  <c r="I87" i="13"/>
  <c r="I103" i="13"/>
  <c r="H7" i="12"/>
  <c r="H42" i="6" s="1"/>
  <c r="F28" i="6"/>
  <c r="J58" i="5"/>
  <c r="J163" i="5"/>
  <c r="F25" i="6"/>
  <c r="F24" i="6"/>
  <c r="J132" i="5"/>
  <c r="AK34" i="18"/>
  <c r="J113" i="5"/>
  <c r="J46" i="5"/>
  <c r="J154" i="5"/>
  <c r="J91" i="5"/>
  <c r="J126" i="5"/>
  <c r="J90" i="5"/>
  <c r="J28" i="5"/>
  <c r="J120" i="5"/>
  <c r="J100" i="5"/>
  <c r="J131" i="5"/>
  <c r="J49" i="5"/>
  <c r="J152" i="5"/>
  <c r="J158" i="5"/>
  <c r="J140" i="5"/>
  <c r="J122" i="5"/>
  <c r="J147" i="5"/>
  <c r="J71" i="5"/>
  <c r="J73" i="5"/>
  <c r="J88" i="5"/>
  <c r="J94" i="5"/>
  <c r="J68" i="5"/>
  <c r="J50" i="5"/>
  <c r="J111" i="5"/>
  <c r="J153" i="5"/>
  <c r="J39" i="5"/>
  <c r="J156" i="5"/>
  <c r="J160" i="5"/>
  <c r="J128" i="5"/>
  <c r="J96" i="5"/>
  <c r="J62" i="5"/>
  <c r="J166" i="5"/>
  <c r="J134" i="5"/>
  <c r="J102" i="5"/>
  <c r="J70" i="5"/>
  <c r="J148" i="5"/>
  <c r="J108" i="5"/>
  <c r="J76" i="5"/>
  <c r="J162" i="5"/>
  <c r="J130" i="5"/>
  <c r="J98" i="5"/>
  <c r="J66" i="5"/>
  <c r="J167" i="5"/>
  <c r="J151" i="5"/>
  <c r="J135" i="5"/>
  <c r="J119" i="5"/>
  <c r="J95" i="5"/>
  <c r="J75" i="5"/>
  <c r="J44" i="5"/>
  <c r="J157" i="5"/>
  <c r="J121" i="5"/>
  <c r="J89" i="5"/>
  <c r="J65" i="5"/>
  <c r="J43" i="5"/>
  <c r="F23" i="6"/>
  <c r="J54" i="5"/>
  <c r="J144" i="5"/>
  <c r="J112" i="5"/>
  <c r="J80" i="5"/>
  <c r="J30" i="5"/>
  <c r="J150" i="5"/>
  <c r="J118" i="5"/>
  <c r="J86" i="5"/>
  <c r="J42" i="5"/>
  <c r="J124" i="5"/>
  <c r="J92" i="5"/>
  <c r="J38" i="5"/>
  <c r="J146" i="5"/>
  <c r="J114" i="5"/>
  <c r="J82" i="5"/>
  <c r="J34" i="5"/>
  <c r="J159" i="5"/>
  <c r="J143" i="5"/>
  <c r="J127" i="5"/>
  <c r="J107" i="5"/>
  <c r="J87" i="5"/>
  <c r="J60" i="5"/>
  <c r="J173" i="5"/>
  <c r="J141" i="5"/>
  <c r="J97" i="5"/>
  <c r="J64" i="5"/>
  <c r="J33" i="5"/>
  <c r="J27" i="5"/>
  <c r="J172" i="5"/>
  <c r="J168" i="5"/>
  <c r="J136" i="5"/>
  <c r="J104" i="5"/>
  <c r="J72" i="5"/>
  <c r="J174" i="5"/>
  <c r="J142" i="5"/>
  <c r="J110" i="5"/>
  <c r="J78" i="5"/>
  <c r="J164" i="5"/>
  <c r="J116" i="5"/>
  <c r="J84" i="5"/>
  <c r="J170" i="5"/>
  <c r="J138" i="5"/>
  <c r="J106" i="5"/>
  <c r="J74" i="5"/>
  <c r="J171" i="5"/>
  <c r="J155" i="5"/>
  <c r="J139" i="5"/>
  <c r="J123" i="5"/>
  <c r="J103" i="5"/>
  <c r="J79" i="5"/>
  <c r="J52" i="5"/>
  <c r="J169" i="5"/>
  <c r="J129" i="5"/>
  <c r="J93" i="5"/>
  <c r="J48" i="5"/>
  <c r="J29" i="5"/>
  <c r="J53" i="5"/>
  <c r="J59" i="5"/>
  <c r="J161" i="5"/>
  <c r="J137" i="5"/>
  <c r="J109" i="5"/>
  <c r="J77" i="5"/>
  <c r="J32" i="5"/>
  <c r="J45" i="5"/>
  <c r="J51" i="5"/>
  <c r="I7" i="5"/>
  <c r="J145" i="5"/>
  <c r="J125" i="5"/>
  <c r="J105" i="5"/>
  <c r="J81" i="5"/>
  <c r="J56" i="5"/>
  <c r="J61" i="5"/>
  <c r="J37" i="5"/>
  <c r="J55" i="5"/>
  <c r="J35" i="5"/>
  <c r="J115" i="5"/>
  <c r="J99" i="5"/>
  <c r="J83" i="5"/>
  <c r="J67" i="5"/>
  <c r="J36" i="5"/>
  <c r="J165" i="5"/>
  <c r="J149" i="5"/>
  <c r="J133" i="5"/>
  <c r="J117" i="5"/>
  <c r="J101" i="5"/>
  <c r="J85" i="5"/>
  <c r="J69" i="5"/>
  <c r="J40" i="5"/>
  <c r="J57" i="5"/>
  <c r="J41" i="5"/>
  <c r="J63" i="5"/>
  <c r="J47" i="5"/>
  <c r="K3" i="5"/>
  <c r="K27" i="5" s="1"/>
  <c r="BC1" i="18"/>
  <c r="AR30" i="18"/>
  <c r="AQ30" i="18" s="1"/>
  <c r="AT40" i="18"/>
  <c r="AU34" i="18"/>
  <c r="J67" i="6"/>
  <c r="J72" i="6" s="1"/>
  <c r="G8" i="7"/>
  <c r="G39" i="6" s="1"/>
  <c r="H69" i="10"/>
  <c r="H72" i="9"/>
  <c r="H120" i="9"/>
  <c r="H46" i="10"/>
  <c r="H72" i="10"/>
  <c r="H80" i="10"/>
  <c r="G103" i="7"/>
  <c r="H89" i="10"/>
  <c r="H94" i="9"/>
  <c r="H81" i="9"/>
  <c r="H103" i="9"/>
  <c r="H97" i="10"/>
  <c r="H80" i="9"/>
  <c r="H121" i="9"/>
  <c r="H96" i="9"/>
  <c r="H74" i="9"/>
  <c r="H115" i="9"/>
  <c r="H54" i="9"/>
  <c r="H67" i="9"/>
  <c r="H49" i="9"/>
  <c r="H68" i="7"/>
  <c r="H52" i="9"/>
  <c r="H87" i="9"/>
  <c r="H85" i="9"/>
  <c r="H69" i="7"/>
  <c r="H44" i="7"/>
  <c r="H118" i="9"/>
  <c r="H95" i="9"/>
  <c r="H97" i="9"/>
  <c r="H116" i="9"/>
  <c r="H100" i="9"/>
  <c r="H112" i="9"/>
  <c r="H48" i="7"/>
  <c r="H85" i="7"/>
  <c r="H31" i="7"/>
  <c r="H53" i="7"/>
  <c r="H34" i="10"/>
  <c r="H43" i="7"/>
  <c r="H41" i="7"/>
  <c r="H66" i="7"/>
  <c r="H34" i="7"/>
  <c r="G102" i="10"/>
  <c r="H91" i="7"/>
  <c r="H67" i="7"/>
  <c r="H88" i="7"/>
  <c r="H74" i="7"/>
  <c r="H47" i="10"/>
  <c r="H51" i="10"/>
  <c r="H60" i="10"/>
  <c r="H85" i="10"/>
  <c r="H56" i="10"/>
  <c r="H42" i="10"/>
  <c r="H58" i="10"/>
  <c r="H68" i="10"/>
  <c r="H52" i="10"/>
  <c r="H55" i="10"/>
  <c r="H33" i="10"/>
  <c r="H88" i="10"/>
  <c r="H63" i="10"/>
  <c r="H96" i="10"/>
  <c r="G8" i="10"/>
  <c r="G41" i="6" s="1"/>
  <c r="G123" i="9"/>
  <c r="H86" i="10"/>
  <c r="H94" i="10"/>
  <c r="H91" i="10"/>
  <c r="H79" i="10"/>
  <c r="H61" i="10"/>
  <c r="H53" i="10"/>
  <c r="H77" i="10"/>
  <c r="N11" i="14"/>
  <c r="H37" i="9"/>
  <c r="H53" i="9"/>
  <c r="H101" i="9"/>
  <c r="H77" i="9"/>
  <c r="H111" i="9"/>
  <c r="H114" i="9"/>
  <c r="H106" i="9"/>
  <c r="H79" i="9"/>
  <c r="H62" i="9"/>
  <c r="H104" i="9"/>
  <c r="H73" i="9"/>
  <c r="H78" i="9"/>
  <c r="H66" i="9"/>
  <c r="H64" i="9"/>
  <c r="H89" i="9"/>
  <c r="H55" i="9"/>
  <c r="H42" i="9"/>
  <c r="H110" i="9"/>
  <c r="H39" i="9"/>
  <c r="H76" i="9"/>
  <c r="H117" i="9"/>
  <c r="H75" i="9"/>
  <c r="H36" i="9"/>
  <c r="H34" i="9"/>
  <c r="H57" i="10"/>
  <c r="H39" i="10"/>
  <c r="H45" i="10"/>
  <c r="H50" i="10"/>
  <c r="H67" i="10"/>
  <c r="H43" i="10"/>
  <c r="H64" i="10"/>
  <c r="H90" i="10"/>
  <c r="H47" i="9"/>
  <c r="H109" i="9"/>
  <c r="H57" i="9"/>
  <c r="H69" i="9"/>
  <c r="H35" i="9"/>
  <c r="H59" i="9"/>
  <c r="H48" i="9"/>
  <c r="H41" i="9"/>
  <c r="H98" i="9"/>
  <c r="H84" i="9"/>
  <c r="H102" i="9"/>
  <c r="H91" i="9"/>
  <c r="H83" i="9"/>
  <c r="H63" i="9"/>
  <c r="H60" i="9"/>
  <c r="H86" i="9"/>
  <c r="H82" i="9"/>
  <c r="H32" i="9"/>
  <c r="H70" i="9"/>
  <c r="H50" i="9"/>
  <c r="H51" i="9"/>
  <c r="H71" i="7"/>
  <c r="H40" i="7"/>
  <c r="H32" i="10"/>
  <c r="G8" i="9"/>
  <c r="G40" i="6" s="1"/>
  <c r="H93" i="9"/>
  <c r="H56" i="9"/>
  <c r="H68" i="9"/>
  <c r="H90" i="9"/>
  <c r="H107" i="9"/>
  <c r="H71" i="9"/>
  <c r="H88" i="9"/>
  <c r="H45" i="9"/>
  <c r="H58" i="9"/>
  <c r="H40" i="9"/>
  <c r="H46" i="9"/>
  <c r="H108" i="9"/>
  <c r="H31" i="9"/>
  <c r="H61" i="9"/>
  <c r="H92" i="9"/>
  <c r="H119" i="9"/>
  <c r="H43" i="9"/>
  <c r="H99" i="9"/>
  <c r="H44" i="9"/>
  <c r="H38" i="9"/>
  <c r="H113" i="9"/>
  <c r="H33" i="9"/>
  <c r="H65" i="9"/>
  <c r="H100" i="7"/>
  <c r="H64" i="7"/>
  <c r="H72" i="7"/>
  <c r="H35" i="7"/>
  <c r="H33" i="7"/>
  <c r="H76" i="7"/>
  <c r="H62" i="7"/>
  <c r="H95" i="7"/>
  <c r="H77" i="7"/>
  <c r="H79" i="7"/>
  <c r="H96" i="7"/>
  <c r="H37" i="7"/>
  <c r="H59" i="7"/>
  <c r="H87" i="7"/>
  <c r="H55" i="7"/>
  <c r="H61" i="7"/>
  <c r="H83" i="7"/>
  <c r="H20" i="22"/>
  <c r="M6" i="14"/>
  <c r="P19" i="14" s="1"/>
  <c r="I53" i="6"/>
  <c r="AZ8" i="18" s="1"/>
  <c r="BA36" i="18" s="1"/>
  <c r="I73" i="6"/>
  <c r="N9" i="14" s="1"/>
  <c r="Q22" i="14" s="1"/>
  <c r="I32" i="13"/>
  <c r="I33" i="13"/>
  <c r="I31" i="13"/>
  <c r="I35" i="13"/>
  <c r="I34" i="13"/>
  <c r="I140" i="12"/>
  <c r="I167" i="12"/>
  <c r="I185" i="12"/>
  <c r="I113" i="12"/>
  <c r="I148" i="12"/>
  <c r="I39" i="12"/>
  <c r="I66" i="12"/>
  <c r="I50" i="12"/>
  <c r="I97" i="12"/>
  <c r="I79" i="12"/>
  <c r="I124" i="12"/>
  <c r="I137" i="12"/>
  <c r="I45" i="12"/>
  <c r="I54" i="12"/>
  <c r="I53" i="12"/>
  <c r="I174" i="12"/>
  <c r="I129" i="12"/>
  <c r="I48" i="12"/>
  <c r="I73" i="12"/>
  <c r="I56" i="12"/>
  <c r="I147" i="12"/>
  <c r="I177" i="12"/>
  <c r="I30" i="12"/>
  <c r="I180" i="12"/>
  <c r="I160" i="12"/>
  <c r="I117" i="12"/>
  <c r="I57" i="12"/>
  <c r="I36" i="12"/>
  <c r="I78" i="12"/>
  <c r="I60" i="12"/>
  <c r="I111" i="12"/>
  <c r="I184" i="12"/>
  <c r="I33" i="12"/>
  <c r="I93" i="12"/>
  <c r="I126" i="12"/>
  <c r="I123" i="12"/>
  <c r="I35" i="12"/>
  <c r="I82" i="12"/>
  <c r="I165" i="12"/>
  <c r="I166" i="12"/>
  <c r="I91" i="12"/>
  <c r="I74" i="12"/>
  <c r="I154" i="12"/>
  <c r="I42" i="12"/>
  <c r="I72" i="12"/>
  <c r="I186" i="12"/>
  <c r="I59" i="12"/>
  <c r="I171" i="12"/>
  <c r="I179" i="12"/>
  <c r="I122" i="12"/>
  <c r="I65" i="12"/>
  <c r="I98" i="12"/>
  <c r="I162" i="12"/>
  <c r="I44" i="12"/>
  <c r="I99" i="12"/>
  <c r="I182" i="12"/>
  <c r="I51" i="12"/>
  <c r="I159" i="12"/>
  <c r="I120" i="12"/>
  <c r="I142" i="12"/>
  <c r="I67" i="12"/>
  <c r="I89" i="12"/>
  <c r="I92" i="12"/>
  <c r="I88" i="12"/>
  <c r="I125" i="12"/>
  <c r="I156" i="12"/>
  <c r="I61" i="12"/>
  <c r="I86" i="12"/>
  <c r="I153" i="12"/>
  <c r="I141" i="12"/>
  <c r="I103" i="12"/>
  <c r="I169" i="12"/>
  <c r="I119" i="12"/>
  <c r="I32" i="12"/>
  <c r="I116" i="12"/>
  <c r="I58" i="12"/>
  <c r="I84" i="12"/>
  <c r="I41" i="12"/>
  <c r="I157" i="12"/>
  <c r="I87" i="12"/>
  <c r="I181" i="12"/>
  <c r="I173" i="12"/>
  <c r="I135" i="12"/>
  <c r="I155" i="12"/>
  <c r="I31" i="12"/>
  <c r="I115" i="12"/>
  <c r="I77" i="12"/>
  <c r="I131" i="12"/>
  <c r="I178" i="12"/>
  <c r="I81" i="12"/>
  <c r="I110" i="12"/>
  <c r="I139" i="12"/>
  <c r="I49" i="12"/>
  <c r="I95" i="12"/>
  <c r="I164" i="12"/>
  <c r="I138" i="12"/>
  <c r="I47" i="12"/>
  <c r="I90" i="12"/>
  <c r="I127" i="12"/>
  <c r="I150" i="12"/>
  <c r="I68" i="12"/>
  <c r="I149" i="12"/>
  <c r="I69" i="12"/>
  <c r="I108" i="12"/>
  <c r="I128" i="12"/>
  <c r="I188" i="12"/>
  <c r="I70" i="12"/>
  <c r="I100" i="12"/>
  <c r="I109" i="12"/>
  <c r="I130" i="12"/>
  <c r="I71" i="12"/>
  <c r="I152" i="12"/>
  <c r="I62" i="12"/>
  <c r="I106" i="12"/>
  <c r="I132" i="12"/>
  <c r="I163" i="12"/>
  <c r="I143" i="12"/>
  <c r="I34" i="12"/>
  <c r="I43" i="12"/>
  <c r="I104" i="12"/>
  <c r="I85" i="12"/>
  <c r="I136" i="12"/>
  <c r="I151" i="12"/>
  <c r="I114" i="12"/>
  <c r="I75" i="12"/>
  <c r="I145" i="12"/>
  <c r="I187" i="12"/>
  <c r="I63" i="12"/>
  <c r="I76" i="12"/>
  <c r="I170" i="12"/>
  <c r="I146" i="12"/>
  <c r="I55" i="12"/>
  <c r="I96" i="12"/>
  <c r="I134" i="12"/>
  <c r="I37" i="12"/>
  <c r="I112" i="12"/>
  <c r="I168" i="12"/>
  <c r="I94" i="12"/>
  <c r="I158" i="12"/>
  <c r="I144" i="12"/>
  <c r="I52" i="12"/>
  <c r="I46" i="12"/>
  <c r="I64" i="12"/>
  <c r="I172" i="12"/>
  <c r="I40" i="12"/>
  <c r="I107" i="12"/>
  <c r="I183" i="12"/>
  <c r="I102" i="12"/>
  <c r="I80" i="12"/>
  <c r="I121" i="12"/>
  <c r="I133" i="12"/>
  <c r="I38" i="12"/>
  <c r="I118" i="12"/>
  <c r="I176" i="12"/>
  <c r="I105" i="12"/>
  <c r="I83" i="12"/>
  <c r="I101" i="12"/>
  <c r="I175" i="12"/>
  <c r="I161" i="12"/>
  <c r="I7" i="10"/>
  <c r="I100" i="10" s="1"/>
  <c r="J13" i="6"/>
  <c r="K119" i="6" s="1"/>
  <c r="J15" i="6"/>
  <c r="K121" i="6" s="1"/>
  <c r="J14" i="6"/>
  <c r="K120" i="6" s="1"/>
  <c r="J5" i="22"/>
  <c r="J3" i="9"/>
  <c r="J19" i="6"/>
  <c r="K10" i="6"/>
  <c r="H98" i="6"/>
  <c r="J3" i="10"/>
  <c r="J3" i="13"/>
  <c r="J3" i="12"/>
  <c r="J3" i="7"/>
  <c r="H42" i="7"/>
  <c r="H86" i="7"/>
  <c r="H45" i="7"/>
  <c r="H94" i="7"/>
  <c r="H47" i="7"/>
  <c r="H89" i="7"/>
  <c r="H99" i="7"/>
  <c r="H51" i="7"/>
  <c r="H80" i="7"/>
  <c r="H57" i="7"/>
  <c r="H52" i="7"/>
  <c r="H38" i="7"/>
  <c r="H101" i="7"/>
  <c r="H92" i="7"/>
  <c r="H73" i="7"/>
  <c r="H90" i="7"/>
  <c r="H39" i="7"/>
  <c r="M7" i="14"/>
  <c r="P20" i="14" s="1"/>
  <c r="H21" i="22"/>
  <c r="H190" i="12"/>
  <c r="H26" i="6" s="1"/>
  <c r="H95" i="10"/>
  <c r="H70" i="10"/>
  <c r="H92" i="10"/>
  <c r="H78" i="10"/>
  <c r="H38" i="10"/>
  <c r="H71" i="10"/>
  <c r="H36" i="10"/>
  <c r="H35" i="10"/>
  <c r="H75" i="10"/>
  <c r="H40" i="10"/>
  <c r="H62" i="10"/>
  <c r="H44" i="10"/>
  <c r="H74" i="10"/>
  <c r="H93" i="10"/>
  <c r="H98" i="10"/>
  <c r="H81" i="10"/>
  <c r="H87" i="10"/>
  <c r="I7" i="9"/>
  <c r="I109" i="9" s="1"/>
  <c r="I12" i="6"/>
  <c r="G18" i="22"/>
  <c r="L4" i="14"/>
  <c r="O17" i="14" s="1"/>
  <c r="O15" i="14" s="1"/>
  <c r="H56" i="7"/>
  <c r="H58" i="7"/>
  <c r="H81" i="7"/>
  <c r="H75" i="7"/>
  <c r="H93" i="7"/>
  <c r="H46" i="7"/>
  <c r="H36" i="7"/>
  <c r="H97" i="7"/>
  <c r="H54" i="7"/>
  <c r="H60" i="7"/>
  <c r="H82" i="7"/>
  <c r="H65" i="7"/>
  <c r="H70" i="7"/>
  <c r="H63" i="7"/>
  <c r="H78" i="7"/>
  <c r="H84" i="7"/>
  <c r="H49" i="7"/>
  <c r="H19" i="22"/>
  <c r="M5" i="14"/>
  <c r="P18" i="14" s="1"/>
  <c r="H82" i="10"/>
  <c r="H73" i="10"/>
  <c r="H65" i="10"/>
  <c r="H54" i="10"/>
  <c r="H84" i="10"/>
  <c r="H66" i="10"/>
  <c r="H48" i="10"/>
  <c r="H37" i="10"/>
  <c r="H100" i="10"/>
  <c r="H76" i="10"/>
  <c r="H49" i="10"/>
  <c r="H59" i="10"/>
  <c r="H99" i="10"/>
  <c r="H83" i="10"/>
  <c r="H31" i="10"/>
  <c r="N3" i="14"/>
  <c r="Q16" i="14" s="1"/>
  <c r="I17" i="22"/>
  <c r="I72" i="6"/>
  <c r="N8" i="14" s="1"/>
  <c r="Q21" i="14" s="1"/>
  <c r="I7" i="7"/>
  <c r="I101" i="7" s="1"/>
  <c r="F83" i="6"/>
  <c r="F94" i="6" s="1"/>
  <c r="AU40" i="18" l="1"/>
  <c r="AU38" i="18" s="1"/>
  <c r="AJ38" i="18"/>
  <c r="AK40" i="18"/>
  <c r="AK38" i="18" s="1"/>
  <c r="J88" i="13"/>
  <c r="J94" i="13"/>
  <c r="J97" i="13"/>
  <c r="J99" i="13"/>
  <c r="J101" i="13"/>
  <c r="J103" i="13"/>
  <c r="J52" i="13"/>
  <c r="J53" i="13"/>
  <c r="J54" i="13"/>
  <c r="J55" i="13"/>
  <c r="J56" i="13"/>
  <c r="J57" i="13"/>
  <c r="J58" i="13"/>
  <c r="J59" i="13"/>
  <c r="J60" i="13"/>
  <c r="J61" i="13"/>
  <c r="J62" i="13"/>
  <c r="J63" i="13"/>
  <c r="J64" i="13"/>
  <c r="J65" i="13"/>
  <c r="J66" i="13"/>
  <c r="J67" i="13"/>
  <c r="J68" i="13"/>
  <c r="J69" i="13"/>
  <c r="J70" i="13"/>
  <c r="J71" i="13"/>
  <c r="J72" i="13"/>
  <c r="J73" i="13"/>
  <c r="J74" i="13"/>
  <c r="J75" i="13"/>
  <c r="J76" i="13"/>
  <c r="J77" i="13"/>
  <c r="J78" i="13"/>
  <c r="J79" i="13"/>
  <c r="J80" i="13"/>
  <c r="J81" i="13"/>
  <c r="J82" i="13"/>
  <c r="J83" i="13"/>
  <c r="J84" i="13"/>
  <c r="J85" i="13"/>
  <c r="J86" i="13"/>
  <c r="J87" i="13"/>
  <c r="J89" i="13"/>
  <c r="J90" i="13"/>
  <c r="J91" i="13"/>
  <c r="J92" i="13"/>
  <c r="J93" i="13"/>
  <c r="J95" i="13"/>
  <c r="J96" i="13"/>
  <c r="J98" i="13"/>
  <c r="J100" i="13"/>
  <c r="J102" i="13"/>
  <c r="I7" i="12"/>
  <c r="H37" i="6"/>
  <c r="I176" i="5"/>
  <c r="H21" i="6" s="1"/>
  <c r="G28" i="6"/>
  <c r="G25" i="6"/>
  <c r="G24" i="6"/>
  <c r="K166" i="5"/>
  <c r="K135" i="5"/>
  <c r="K36" i="5"/>
  <c r="AK30" i="18"/>
  <c r="G23" i="6"/>
  <c r="K90" i="5"/>
  <c r="K132" i="5"/>
  <c r="K53" i="5"/>
  <c r="K34" i="5"/>
  <c r="K144" i="5"/>
  <c r="K117" i="5"/>
  <c r="K119" i="5"/>
  <c r="K126" i="5"/>
  <c r="K164" i="5"/>
  <c r="K101" i="5"/>
  <c r="K71" i="5"/>
  <c r="K112" i="5"/>
  <c r="K165" i="5"/>
  <c r="K37" i="5"/>
  <c r="K55" i="5"/>
  <c r="J7" i="5"/>
  <c r="K162" i="5"/>
  <c r="K62" i="5"/>
  <c r="K102" i="5"/>
  <c r="K80" i="5"/>
  <c r="K100" i="5"/>
  <c r="K149" i="5"/>
  <c r="K85" i="5"/>
  <c r="K167" i="5"/>
  <c r="K103" i="5"/>
  <c r="K39" i="5"/>
  <c r="K98" i="5"/>
  <c r="K154" i="5"/>
  <c r="K38" i="5"/>
  <c r="K48" i="5"/>
  <c r="K68" i="5"/>
  <c r="K133" i="5"/>
  <c r="K69" i="5"/>
  <c r="K151" i="5"/>
  <c r="K87" i="5"/>
  <c r="K130" i="5"/>
  <c r="K66" i="5"/>
  <c r="K158" i="5"/>
  <c r="K94" i="5"/>
  <c r="K30" i="5"/>
  <c r="K122" i="5"/>
  <c r="K58" i="5"/>
  <c r="K134" i="5"/>
  <c r="K70" i="5"/>
  <c r="K160" i="5"/>
  <c r="K128" i="5"/>
  <c r="K96" i="5"/>
  <c r="K64" i="5"/>
  <c r="K32" i="5"/>
  <c r="K148" i="5"/>
  <c r="K116" i="5"/>
  <c r="K84" i="5"/>
  <c r="K52" i="5"/>
  <c r="K173" i="5"/>
  <c r="K157" i="5"/>
  <c r="K141" i="5"/>
  <c r="K125" i="5"/>
  <c r="K109" i="5"/>
  <c r="K93" i="5"/>
  <c r="K77" i="5"/>
  <c r="K61" i="5"/>
  <c r="K45" i="5"/>
  <c r="K29" i="5"/>
  <c r="K159" i="5"/>
  <c r="K143" i="5"/>
  <c r="K127" i="5"/>
  <c r="K111" i="5"/>
  <c r="K95" i="5"/>
  <c r="K79" i="5"/>
  <c r="K63" i="5"/>
  <c r="K47" i="5"/>
  <c r="K31" i="5"/>
  <c r="K114" i="5"/>
  <c r="K50" i="5"/>
  <c r="K142" i="5"/>
  <c r="K78" i="5"/>
  <c r="K170" i="5"/>
  <c r="K106" i="5"/>
  <c r="K42" i="5"/>
  <c r="K118" i="5"/>
  <c r="K54" i="5"/>
  <c r="K152" i="5"/>
  <c r="K120" i="5"/>
  <c r="K88" i="5"/>
  <c r="K56" i="5"/>
  <c r="K172" i="5"/>
  <c r="K140" i="5"/>
  <c r="K108" i="5"/>
  <c r="K76" i="5"/>
  <c r="K44" i="5"/>
  <c r="K169" i="5"/>
  <c r="K153" i="5"/>
  <c r="K137" i="5"/>
  <c r="K121" i="5"/>
  <c r="K105" i="5"/>
  <c r="K89" i="5"/>
  <c r="K73" i="5"/>
  <c r="K57" i="5"/>
  <c r="K41" i="5"/>
  <c r="K171" i="5"/>
  <c r="K155" i="5"/>
  <c r="K139" i="5"/>
  <c r="K123" i="5"/>
  <c r="K107" i="5"/>
  <c r="K91" i="5"/>
  <c r="K75" i="5"/>
  <c r="K59" i="5"/>
  <c r="K43" i="5"/>
  <c r="K146" i="5"/>
  <c r="K82" i="5"/>
  <c r="K174" i="5"/>
  <c r="K110" i="5"/>
  <c r="K46" i="5"/>
  <c r="K138" i="5"/>
  <c r="K74" i="5"/>
  <c r="K150" i="5"/>
  <c r="K86" i="5"/>
  <c r="K168" i="5"/>
  <c r="K136" i="5"/>
  <c r="K104" i="5"/>
  <c r="K72" i="5"/>
  <c r="K40" i="5"/>
  <c r="K156" i="5"/>
  <c r="K124" i="5"/>
  <c r="K92" i="5"/>
  <c r="K60" i="5"/>
  <c r="K28" i="5"/>
  <c r="K161" i="5"/>
  <c r="K145" i="5"/>
  <c r="K129" i="5"/>
  <c r="K113" i="5"/>
  <c r="K97" i="5"/>
  <c r="K81" i="5"/>
  <c r="K65" i="5"/>
  <c r="K49" i="5"/>
  <c r="K33" i="5"/>
  <c r="K163" i="5"/>
  <c r="K147" i="5"/>
  <c r="K131" i="5"/>
  <c r="K115" i="5"/>
  <c r="K99" i="5"/>
  <c r="K83" i="5"/>
  <c r="K67" i="5"/>
  <c r="K51" i="5"/>
  <c r="K35" i="5"/>
  <c r="L3" i="5"/>
  <c r="L35" i="5" s="1"/>
  <c r="BI1" i="18"/>
  <c r="AT34" i="18"/>
  <c r="BA40" i="18"/>
  <c r="BB40" i="18" s="1"/>
  <c r="BB38" i="18" s="1"/>
  <c r="BB36" i="18"/>
  <c r="BB34" i="18" s="1"/>
  <c r="I175" i="5"/>
  <c r="K19" i="6"/>
  <c r="K67" i="6"/>
  <c r="I42" i="9"/>
  <c r="I97" i="9"/>
  <c r="I43" i="9"/>
  <c r="I75" i="9"/>
  <c r="I46" i="9"/>
  <c r="I90" i="9"/>
  <c r="I78" i="9"/>
  <c r="I95" i="10"/>
  <c r="I89" i="7"/>
  <c r="I93" i="7"/>
  <c r="I88" i="10"/>
  <c r="I79" i="10"/>
  <c r="I54" i="7"/>
  <c r="I85" i="7"/>
  <c r="I67" i="7"/>
  <c r="I95" i="7"/>
  <c r="I60" i="10"/>
  <c r="I114" i="9"/>
  <c r="I49" i="9"/>
  <c r="I81" i="9"/>
  <c r="I119" i="9"/>
  <c r="I63" i="9"/>
  <c r="I62" i="9"/>
  <c r="I91" i="9"/>
  <c r="I40" i="9"/>
  <c r="I94" i="9"/>
  <c r="I65" i="10"/>
  <c r="I67" i="10"/>
  <c r="I57" i="10"/>
  <c r="I80" i="10"/>
  <c r="I96" i="10"/>
  <c r="I112" i="9"/>
  <c r="I60" i="9"/>
  <c r="I110" i="9"/>
  <c r="I70" i="9"/>
  <c r="I69" i="9"/>
  <c r="I38" i="9"/>
  <c r="I68" i="9"/>
  <c r="I85" i="9"/>
  <c r="I88" i="9"/>
  <c r="I50" i="10"/>
  <c r="I36" i="10"/>
  <c r="I69" i="10"/>
  <c r="I55" i="10"/>
  <c r="I84" i="10"/>
  <c r="I50" i="9"/>
  <c r="I83" i="9"/>
  <c r="I73" i="9"/>
  <c r="I79" i="9"/>
  <c r="I31" i="9"/>
  <c r="I34" i="9"/>
  <c r="I96" i="9"/>
  <c r="I90" i="10"/>
  <c r="I54" i="10"/>
  <c r="I49" i="10"/>
  <c r="I76" i="10"/>
  <c r="I51" i="10"/>
  <c r="H123" i="9"/>
  <c r="I59" i="9"/>
  <c r="I44" i="9"/>
  <c r="I108" i="9"/>
  <c r="I111" i="9"/>
  <c r="I93" i="9"/>
  <c r="I58" i="9"/>
  <c r="I100" i="9"/>
  <c r="I35" i="9"/>
  <c r="I82" i="9"/>
  <c r="I48" i="9"/>
  <c r="I33" i="9"/>
  <c r="I64" i="9"/>
  <c r="I58" i="10"/>
  <c r="I81" i="10"/>
  <c r="I85" i="10"/>
  <c r="I70" i="10"/>
  <c r="I89" i="10"/>
  <c r="I78" i="10"/>
  <c r="I63" i="10"/>
  <c r="I53" i="7"/>
  <c r="I33" i="7"/>
  <c r="I44" i="7"/>
  <c r="I74" i="7"/>
  <c r="I87" i="7"/>
  <c r="I41" i="7"/>
  <c r="I82" i="7"/>
  <c r="I66" i="10"/>
  <c r="I82" i="10"/>
  <c r="I61" i="10"/>
  <c r="I74" i="10"/>
  <c r="I52" i="10"/>
  <c r="I62" i="10"/>
  <c r="I72" i="10"/>
  <c r="I73" i="10"/>
  <c r="I71" i="10"/>
  <c r="H8" i="9"/>
  <c r="H40" i="6" s="1"/>
  <c r="I55" i="7"/>
  <c r="I71" i="7"/>
  <c r="I84" i="7"/>
  <c r="I79" i="7"/>
  <c r="H103" i="7"/>
  <c r="H8" i="7"/>
  <c r="H39" i="6" s="1"/>
  <c r="G74" i="6"/>
  <c r="G83" i="6" s="1"/>
  <c r="O11" i="14"/>
  <c r="H115" i="6"/>
  <c r="F46" i="22"/>
  <c r="E53" i="22" s="1"/>
  <c r="I86" i="7"/>
  <c r="I65" i="7"/>
  <c r="I75" i="7"/>
  <c r="I96" i="7"/>
  <c r="I97" i="7"/>
  <c r="I42" i="7"/>
  <c r="I80" i="7"/>
  <c r="I36" i="7"/>
  <c r="I35" i="7"/>
  <c r="I38" i="7"/>
  <c r="I72" i="7"/>
  <c r="I73" i="7"/>
  <c r="I94" i="7"/>
  <c r="I90" i="7"/>
  <c r="I43" i="7"/>
  <c r="I83" i="7"/>
  <c r="I70" i="7"/>
  <c r="I88" i="7"/>
  <c r="I63" i="7"/>
  <c r="I47" i="7"/>
  <c r="I61" i="7"/>
  <c r="I76" i="7"/>
  <c r="I92" i="7"/>
  <c r="I59" i="7"/>
  <c r="I60" i="7"/>
  <c r="N7" i="14"/>
  <c r="Q20" i="14" s="1"/>
  <c r="I21" i="22"/>
  <c r="I19" i="22"/>
  <c r="N5" i="14"/>
  <c r="Q18" i="14" s="1"/>
  <c r="H18" i="22"/>
  <c r="M4" i="14"/>
  <c r="P17" i="14" s="1"/>
  <c r="P15" i="14" s="1"/>
  <c r="I101" i="9"/>
  <c r="I87" i="9"/>
  <c r="I32" i="9"/>
  <c r="I89" i="9"/>
  <c r="I71" i="9"/>
  <c r="I104" i="9"/>
  <c r="I107" i="9"/>
  <c r="I76" i="9"/>
  <c r="I84" i="9"/>
  <c r="I36" i="9"/>
  <c r="I118" i="9"/>
  <c r="I95" i="9"/>
  <c r="I66" i="9"/>
  <c r="I41" i="9"/>
  <c r="I113" i="9"/>
  <c r="I45" i="9"/>
  <c r="I120" i="9"/>
  <c r="I51" i="9"/>
  <c r="I54" i="9"/>
  <c r="I116" i="9"/>
  <c r="I98" i="9"/>
  <c r="I67" i="9"/>
  <c r="I86" i="9"/>
  <c r="J7" i="7"/>
  <c r="J35" i="7" s="1"/>
  <c r="J73" i="6"/>
  <c r="O9" i="14" s="1"/>
  <c r="R22" i="14" s="1"/>
  <c r="J53" i="6"/>
  <c r="BC8" i="18" s="1"/>
  <c r="BC36" i="18" s="1"/>
  <c r="I59" i="10"/>
  <c r="I75" i="10"/>
  <c r="I33" i="10"/>
  <c r="I91" i="10"/>
  <c r="I37" i="10"/>
  <c r="I38" i="10"/>
  <c r="I77" i="10"/>
  <c r="I43" i="10"/>
  <c r="I64" i="10"/>
  <c r="I40" i="10"/>
  <c r="I47" i="10"/>
  <c r="I86" i="10"/>
  <c r="I68" i="10"/>
  <c r="I44" i="10"/>
  <c r="I39" i="10"/>
  <c r="I98" i="10"/>
  <c r="I45" i="10"/>
  <c r="J17" i="22"/>
  <c r="O3" i="14"/>
  <c r="R16" i="14" s="1"/>
  <c r="O8" i="14"/>
  <c r="R21" i="14" s="1"/>
  <c r="I42" i="6"/>
  <c r="I190" i="12"/>
  <c r="I26" i="6" s="1"/>
  <c r="I49" i="7"/>
  <c r="I99" i="7"/>
  <c r="I37" i="7"/>
  <c r="I81" i="7"/>
  <c r="I34" i="7"/>
  <c r="I50" i="7"/>
  <c r="I45" i="7"/>
  <c r="I64" i="7"/>
  <c r="I57" i="7"/>
  <c r="I20" i="22"/>
  <c r="N6" i="14"/>
  <c r="Q19" i="14" s="1"/>
  <c r="J33" i="13"/>
  <c r="J34" i="13"/>
  <c r="J31" i="13"/>
  <c r="J35" i="13"/>
  <c r="J32" i="13"/>
  <c r="K5" i="22"/>
  <c r="K13" i="6"/>
  <c r="K15" i="6"/>
  <c r="K3" i="10"/>
  <c r="K14" i="6"/>
  <c r="K3" i="13"/>
  <c r="K3" i="9"/>
  <c r="I98" i="6"/>
  <c r="K3" i="12"/>
  <c r="K3" i="7"/>
  <c r="I68" i="7"/>
  <c r="I62" i="7"/>
  <c r="I40" i="7"/>
  <c r="I46" i="7"/>
  <c r="I56" i="7"/>
  <c r="I78" i="7"/>
  <c r="I52" i="7"/>
  <c r="I91" i="7"/>
  <c r="I39" i="7"/>
  <c r="I69" i="7"/>
  <c r="I48" i="7"/>
  <c r="I100" i="7"/>
  <c r="I66" i="7"/>
  <c r="I58" i="7"/>
  <c r="I77" i="7"/>
  <c r="I51" i="7"/>
  <c r="I31" i="7"/>
  <c r="H102" i="10"/>
  <c r="H8" i="10"/>
  <c r="H41" i="6" s="1"/>
  <c r="I103" i="9"/>
  <c r="I37" i="9"/>
  <c r="I55" i="9"/>
  <c r="I74" i="9"/>
  <c r="I61" i="9"/>
  <c r="I47" i="9"/>
  <c r="I57" i="9"/>
  <c r="I102" i="9"/>
  <c r="I121" i="9"/>
  <c r="I65" i="9"/>
  <c r="I92" i="9"/>
  <c r="I39" i="9"/>
  <c r="I117" i="9"/>
  <c r="I99" i="9"/>
  <c r="I56" i="9"/>
  <c r="I77" i="9"/>
  <c r="I106" i="9"/>
  <c r="I115" i="9"/>
  <c r="I80" i="9"/>
  <c r="I53" i="9"/>
  <c r="I52" i="9"/>
  <c r="I105" i="9"/>
  <c r="I72" i="9"/>
  <c r="J150" i="12"/>
  <c r="J164" i="12"/>
  <c r="J187" i="12"/>
  <c r="J135" i="12"/>
  <c r="J42" i="12"/>
  <c r="J37" i="12"/>
  <c r="J95" i="12"/>
  <c r="J56" i="12"/>
  <c r="J51" i="12"/>
  <c r="J139" i="12"/>
  <c r="J180" i="12"/>
  <c r="J69" i="12"/>
  <c r="J74" i="12"/>
  <c r="J106" i="12"/>
  <c r="J122" i="12"/>
  <c r="J171" i="12"/>
  <c r="J31" i="12"/>
  <c r="J60" i="12"/>
  <c r="J107" i="12"/>
  <c r="J169" i="12"/>
  <c r="J149" i="12"/>
  <c r="J48" i="12"/>
  <c r="J53" i="12"/>
  <c r="J109" i="12"/>
  <c r="J136" i="12"/>
  <c r="J64" i="12"/>
  <c r="J141" i="12"/>
  <c r="J45" i="12"/>
  <c r="J110" i="12"/>
  <c r="J142" i="12"/>
  <c r="J160" i="12"/>
  <c r="J47" i="12"/>
  <c r="J99" i="12"/>
  <c r="J116" i="12"/>
  <c r="J127" i="12"/>
  <c r="J98" i="12"/>
  <c r="J178" i="12"/>
  <c r="J36" i="12"/>
  <c r="J78" i="12"/>
  <c r="J129" i="12"/>
  <c r="J168" i="12"/>
  <c r="J144" i="12"/>
  <c r="J133" i="12"/>
  <c r="J38" i="12"/>
  <c r="J82" i="12"/>
  <c r="J43" i="12"/>
  <c r="J111" i="12"/>
  <c r="J138" i="12"/>
  <c r="J35" i="12"/>
  <c r="J96" i="12"/>
  <c r="J181" i="12"/>
  <c r="J126" i="12"/>
  <c r="J34" i="12"/>
  <c r="J66" i="12"/>
  <c r="J156" i="12"/>
  <c r="J153" i="12"/>
  <c r="J93" i="12"/>
  <c r="J58" i="12"/>
  <c r="J67" i="12"/>
  <c r="J108" i="12"/>
  <c r="J41" i="12"/>
  <c r="J163" i="12"/>
  <c r="J137" i="12"/>
  <c r="J39" i="12"/>
  <c r="J72" i="12"/>
  <c r="J165" i="12"/>
  <c r="J105" i="12"/>
  <c r="J172" i="12"/>
  <c r="J97" i="12"/>
  <c r="J179" i="12"/>
  <c r="J166" i="12"/>
  <c r="J62" i="12"/>
  <c r="J84" i="12"/>
  <c r="J128" i="12"/>
  <c r="J80" i="12"/>
  <c r="J154" i="12"/>
  <c r="J77" i="12"/>
  <c r="J182" i="12"/>
  <c r="J86" i="12"/>
  <c r="J100" i="12"/>
  <c r="J85" i="12"/>
  <c r="J125" i="12"/>
  <c r="J54" i="12"/>
  <c r="J55" i="12"/>
  <c r="J112" i="12"/>
  <c r="J118" i="12"/>
  <c r="J148" i="12"/>
  <c r="J134" i="12"/>
  <c r="J33" i="12"/>
  <c r="J63" i="12"/>
  <c r="J87" i="12"/>
  <c r="J73" i="12"/>
  <c r="J155" i="12"/>
  <c r="J124" i="12"/>
  <c r="J57" i="12"/>
  <c r="J65" i="12"/>
  <c r="J159" i="12"/>
  <c r="J170" i="12"/>
  <c r="J104" i="12"/>
  <c r="J115" i="12"/>
  <c r="J132" i="12"/>
  <c r="J49" i="12"/>
  <c r="J75" i="12"/>
  <c r="J185" i="12"/>
  <c r="J44" i="12"/>
  <c r="J161" i="12"/>
  <c r="J92" i="12"/>
  <c r="J143" i="12"/>
  <c r="J177" i="12"/>
  <c r="J52" i="12"/>
  <c r="J61" i="12"/>
  <c r="J174" i="12"/>
  <c r="J83" i="12"/>
  <c r="J176" i="12"/>
  <c r="J79" i="12"/>
  <c r="J147" i="12"/>
  <c r="J102" i="12"/>
  <c r="J59" i="12"/>
  <c r="J123" i="12"/>
  <c r="J46" i="12"/>
  <c r="J30" i="12"/>
  <c r="J119" i="12"/>
  <c r="J32" i="12"/>
  <c r="J167" i="12"/>
  <c r="J130" i="12"/>
  <c r="J151" i="12"/>
  <c r="J71" i="12"/>
  <c r="J162" i="12"/>
  <c r="J158" i="12"/>
  <c r="J117" i="12"/>
  <c r="J188" i="12"/>
  <c r="J120" i="12"/>
  <c r="J146" i="12"/>
  <c r="J40" i="12"/>
  <c r="J94" i="12"/>
  <c r="J76" i="12"/>
  <c r="J103" i="12"/>
  <c r="J184" i="12"/>
  <c r="J113" i="12"/>
  <c r="J90" i="12"/>
  <c r="J145" i="12"/>
  <c r="J152" i="12"/>
  <c r="J70" i="12"/>
  <c r="J88" i="12"/>
  <c r="J173" i="12"/>
  <c r="J140" i="12"/>
  <c r="J81" i="12"/>
  <c r="J101" i="12"/>
  <c r="J131" i="12"/>
  <c r="J91" i="12"/>
  <c r="J183" i="12"/>
  <c r="J89" i="12"/>
  <c r="J175" i="12"/>
  <c r="J121" i="12"/>
  <c r="J68" i="12"/>
  <c r="J157" i="12"/>
  <c r="J114" i="12"/>
  <c r="J186" i="12"/>
  <c r="J50" i="12"/>
  <c r="J7" i="10"/>
  <c r="J95" i="10" s="1"/>
  <c r="J7" i="9"/>
  <c r="J118" i="9" s="1"/>
  <c r="J12" i="6"/>
  <c r="I41" i="10"/>
  <c r="I32" i="10"/>
  <c r="I35" i="10"/>
  <c r="I83" i="10"/>
  <c r="I48" i="10"/>
  <c r="I31" i="10"/>
  <c r="I97" i="10"/>
  <c r="I46" i="10"/>
  <c r="I93" i="10"/>
  <c r="I99" i="10"/>
  <c r="I53" i="10"/>
  <c r="I94" i="10"/>
  <c r="I34" i="10"/>
  <c r="I56" i="10"/>
  <c r="I42" i="10"/>
  <c r="I87" i="10"/>
  <c r="I92" i="10"/>
  <c r="D29" i="22"/>
  <c r="AT38" i="18" l="1"/>
  <c r="AU30" i="18"/>
  <c r="AT30" i="18" s="1"/>
  <c r="J7" i="12"/>
  <c r="K53" i="13"/>
  <c r="K61" i="13"/>
  <c r="K69" i="13"/>
  <c r="K77" i="13"/>
  <c r="K85" i="13"/>
  <c r="K93" i="13"/>
  <c r="K101" i="13"/>
  <c r="K56" i="13"/>
  <c r="K64" i="13"/>
  <c r="K72" i="13"/>
  <c r="K80" i="13"/>
  <c r="K90" i="13"/>
  <c r="K84" i="13"/>
  <c r="K55" i="13"/>
  <c r="K63" i="13"/>
  <c r="K71" i="13"/>
  <c r="K79" i="13"/>
  <c r="K87" i="13"/>
  <c r="K95" i="13"/>
  <c r="K103" i="13"/>
  <c r="K58" i="13"/>
  <c r="K66" i="13"/>
  <c r="K74" i="13"/>
  <c r="K82" i="13"/>
  <c r="K94" i="13"/>
  <c r="K92" i="13"/>
  <c r="K57" i="13"/>
  <c r="K65" i="13"/>
  <c r="K73" i="13"/>
  <c r="K81" i="13"/>
  <c r="K89" i="13"/>
  <c r="K97" i="13"/>
  <c r="K52" i="13"/>
  <c r="K60" i="13"/>
  <c r="K68" i="13"/>
  <c r="K76" i="13"/>
  <c r="K86" i="13"/>
  <c r="K96" i="13"/>
  <c r="K98" i="13"/>
  <c r="K59" i="13"/>
  <c r="K67" i="13"/>
  <c r="K75" i="13"/>
  <c r="K83" i="13"/>
  <c r="K91" i="13"/>
  <c r="K99" i="13"/>
  <c r="K54" i="13"/>
  <c r="K62" i="13"/>
  <c r="K70" i="13"/>
  <c r="K78" i="13"/>
  <c r="K88" i="13"/>
  <c r="K100" i="13"/>
  <c r="K102" i="13"/>
  <c r="I37" i="6"/>
  <c r="J176" i="5"/>
  <c r="I21" i="6" s="1"/>
  <c r="AK15" i="18"/>
  <c r="AJ15" i="18" s="1"/>
  <c r="F54" i="6" s="1"/>
  <c r="F100" i="6" s="1"/>
  <c r="D48" i="22" s="1"/>
  <c r="AJ30" i="18"/>
  <c r="H28" i="6"/>
  <c r="H25" i="6"/>
  <c r="L27" i="5"/>
  <c r="H24" i="6"/>
  <c r="L144" i="5"/>
  <c r="L118" i="5"/>
  <c r="L137" i="5"/>
  <c r="L158" i="5"/>
  <c r="L57" i="5"/>
  <c r="L156" i="5"/>
  <c r="L123" i="5"/>
  <c r="L54" i="5"/>
  <c r="L94" i="5"/>
  <c r="L124" i="5"/>
  <c r="L80" i="5"/>
  <c r="L121" i="5"/>
  <c r="L41" i="5"/>
  <c r="L91" i="5"/>
  <c r="L130" i="5"/>
  <c r="L30" i="5"/>
  <c r="L60" i="5"/>
  <c r="L48" i="5"/>
  <c r="L105" i="5"/>
  <c r="L155" i="5"/>
  <c r="L75" i="5"/>
  <c r="L66" i="5"/>
  <c r="L58" i="5"/>
  <c r="L28" i="5"/>
  <c r="L169" i="5"/>
  <c r="L73" i="5"/>
  <c r="L139" i="5"/>
  <c r="L59" i="5"/>
  <c r="H23" i="6"/>
  <c r="L122" i="5"/>
  <c r="L92" i="5"/>
  <c r="L112" i="5"/>
  <c r="L153" i="5"/>
  <c r="L89" i="5"/>
  <c r="L171" i="5"/>
  <c r="L107" i="5"/>
  <c r="L43" i="5"/>
  <c r="L134" i="5"/>
  <c r="L70" i="5"/>
  <c r="L146" i="5"/>
  <c r="L82" i="5"/>
  <c r="L174" i="5"/>
  <c r="L110" i="5"/>
  <c r="L46" i="5"/>
  <c r="L138" i="5"/>
  <c r="L74" i="5"/>
  <c r="L164" i="5"/>
  <c r="L132" i="5"/>
  <c r="L100" i="5"/>
  <c r="L68" i="5"/>
  <c r="L36" i="5"/>
  <c r="L152" i="5"/>
  <c r="L120" i="5"/>
  <c r="L88" i="5"/>
  <c r="L56" i="5"/>
  <c r="L173" i="5"/>
  <c r="L157" i="5"/>
  <c r="L141" i="5"/>
  <c r="L125" i="5"/>
  <c r="L109" i="5"/>
  <c r="L93" i="5"/>
  <c r="L77" i="5"/>
  <c r="L61" i="5"/>
  <c r="L45" i="5"/>
  <c r="L29" i="5"/>
  <c r="L159" i="5"/>
  <c r="L143" i="5"/>
  <c r="L127" i="5"/>
  <c r="L111" i="5"/>
  <c r="L95" i="5"/>
  <c r="L79" i="5"/>
  <c r="L63" i="5"/>
  <c r="L47" i="5"/>
  <c r="L31" i="5"/>
  <c r="L166" i="5"/>
  <c r="L102" i="5"/>
  <c r="L38" i="5"/>
  <c r="L114" i="5"/>
  <c r="L50" i="5"/>
  <c r="L142" i="5"/>
  <c r="L78" i="5"/>
  <c r="L170" i="5"/>
  <c r="L106" i="5"/>
  <c r="L42" i="5"/>
  <c r="L148" i="5"/>
  <c r="L116" i="5"/>
  <c r="L84" i="5"/>
  <c r="L52" i="5"/>
  <c r="L168" i="5"/>
  <c r="L136" i="5"/>
  <c r="L104" i="5"/>
  <c r="L72" i="5"/>
  <c r="L40" i="5"/>
  <c r="L165" i="5"/>
  <c r="L149" i="5"/>
  <c r="L133" i="5"/>
  <c r="L117" i="5"/>
  <c r="L101" i="5"/>
  <c r="L85" i="5"/>
  <c r="L69" i="5"/>
  <c r="L53" i="5"/>
  <c r="L37" i="5"/>
  <c r="L167" i="5"/>
  <c r="L151" i="5"/>
  <c r="L135" i="5"/>
  <c r="L119" i="5"/>
  <c r="L103" i="5"/>
  <c r="L87" i="5"/>
  <c r="L71" i="5"/>
  <c r="L55" i="5"/>
  <c r="L39" i="5"/>
  <c r="K7" i="5"/>
  <c r="L150" i="5"/>
  <c r="L86" i="5"/>
  <c r="L162" i="5"/>
  <c r="L98" i="5"/>
  <c r="L34" i="5"/>
  <c r="L126" i="5"/>
  <c r="L62" i="5"/>
  <c r="L154" i="5"/>
  <c r="L90" i="5"/>
  <c r="L172" i="5"/>
  <c r="L140" i="5"/>
  <c r="L108" i="5"/>
  <c r="L76" i="5"/>
  <c r="L44" i="5"/>
  <c r="L160" i="5"/>
  <c r="L128" i="5"/>
  <c r="L96" i="5"/>
  <c r="L64" i="5"/>
  <c r="L32" i="5"/>
  <c r="L161" i="5"/>
  <c r="L145" i="5"/>
  <c r="L129" i="5"/>
  <c r="L113" i="5"/>
  <c r="L97" i="5"/>
  <c r="L81" i="5"/>
  <c r="L65" i="5"/>
  <c r="L49" i="5"/>
  <c r="L33" i="5"/>
  <c r="L163" i="5"/>
  <c r="L147" i="5"/>
  <c r="L131" i="5"/>
  <c r="L115" i="5"/>
  <c r="L99" i="5"/>
  <c r="L83" i="5"/>
  <c r="L67" i="5"/>
  <c r="L51" i="5"/>
  <c r="BB30" i="18"/>
  <c r="BC40" i="18"/>
  <c r="BD40" i="18" s="1"/>
  <c r="BD38" i="18" s="1"/>
  <c r="BC38" i="18" s="1"/>
  <c r="BD36" i="18"/>
  <c r="BD34" i="18" s="1"/>
  <c r="J175" i="5"/>
  <c r="K175" i="5"/>
  <c r="J34" i="10"/>
  <c r="J100" i="10"/>
  <c r="J67" i="10"/>
  <c r="J53" i="10"/>
  <c r="J76" i="10"/>
  <c r="J62" i="10"/>
  <c r="J99" i="10"/>
  <c r="J49" i="10"/>
  <c r="J80" i="10"/>
  <c r="J92" i="10"/>
  <c r="J71" i="10"/>
  <c r="J54" i="10"/>
  <c r="J44" i="10"/>
  <c r="J59" i="10"/>
  <c r="J89" i="10"/>
  <c r="J43" i="10"/>
  <c r="J98" i="10"/>
  <c r="J85" i="10"/>
  <c r="J94" i="10"/>
  <c r="J42" i="10"/>
  <c r="J70" i="10"/>
  <c r="J61" i="9"/>
  <c r="J47" i="10"/>
  <c r="J78" i="10"/>
  <c r="J39" i="10"/>
  <c r="J93" i="10"/>
  <c r="J90" i="10"/>
  <c r="J48" i="10"/>
  <c r="J57" i="10"/>
  <c r="J38" i="10"/>
  <c r="J50" i="10"/>
  <c r="J73" i="10"/>
  <c r="J32" i="10"/>
  <c r="J77" i="10"/>
  <c r="J33" i="10"/>
  <c r="J91" i="10"/>
  <c r="J68" i="10"/>
  <c r="J63" i="10"/>
  <c r="J56" i="10"/>
  <c r="J66" i="10"/>
  <c r="J82" i="10"/>
  <c r="J79" i="10"/>
  <c r="J51" i="9"/>
  <c r="J52" i="9"/>
  <c r="J60" i="9"/>
  <c r="J90" i="9"/>
  <c r="J120" i="9"/>
  <c r="J86" i="9"/>
  <c r="J69" i="9"/>
  <c r="J93" i="9"/>
  <c r="J76" i="9"/>
  <c r="J84" i="9"/>
  <c r="J94" i="7"/>
  <c r="J93" i="7"/>
  <c r="J66" i="7"/>
  <c r="J53" i="7"/>
  <c r="J84" i="7"/>
  <c r="J64" i="7"/>
  <c r="J61" i="7"/>
  <c r="J33" i="9"/>
  <c r="J104" i="9"/>
  <c r="J110" i="9"/>
  <c r="J57" i="9"/>
  <c r="J46" i="9"/>
  <c r="J80" i="7"/>
  <c r="J81" i="7"/>
  <c r="J68" i="7"/>
  <c r="J63" i="7"/>
  <c r="J37" i="7"/>
  <c r="J43" i="7"/>
  <c r="J47" i="7"/>
  <c r="J91" i="7"/>
  <c r="J58" i="7"/>
  <c r="J54" i="7"/>
  <c r="J85" i="7"/>
  <c r="J69" i="7"/>
  <c r="J72" i="7"/>
  <c r="J100" i="7"/>
  <c r="J86" i="7"/>
  <c r="J46" i="7"/>
  <c r="J71" i="7"/>
  <c r="J97" i="7"/>
  <c r="J55" i="7"/>
  <c r="J56" i="7"/>
  <c r="J39" i="7"/>
  <c r="J31" i="7"/>
  <c r="J34" i="7"/>
  <c r="J90" i="7"/>
  <c r="J99" i="7"/>
  <c r="J67" i="7"/>
  <c r="J50" i="7"/>
  <c r="J40" i="7"/>
  <c r="J51" i="7"/>
  <c r="J45" i="7"/>
  <c r="J95" i="7"/>
  <c r="J88" i="7"/>
  <c r="J96" i="7"/>
  <c r="J42" i="7"/>
  <c r="J79" i="7"/>
  <c r="J70" i="7"/>
  <c r="J32" i="9"/>
  <c r="J54" i="9"/>
  <c r="J36" i="9"/>
  <c r="J58" i="9"/>
  <c r="J47" i="9"/>
  <c r="J38" i="9"/>
  <c r="J48" i="7"/>
  <c r="J92" i="7"/>
  <c r="J75" i="7"/>
  <c r="J52" i="7"/>
  <c r="J33" i="7"/>
  <c r="J78" i="7"/>
  <c r="J36" i="7"/>
  <c r="J87" i="7"/>
  <c r="J59" i="7"/>
  <c r="J74" i="7"/>
  <c r="J60" i="7"/>
  <c r="J83" i="7"/>
  <c r="J38" i="7"/>
  <c r="J44" i="7"/>
  <c r="J80" i="9"/>
  <c r="J59" i="9"/>
  <c r="J100" i="9"/>
  <c r="J75" i="9"/>
  <c r="J68" i="9"/>
  <c r="J102" i="9"/>
  <c r="J114" i="9"/>
  <c r="J66" i="9"/>
  <c r="J113" i="9"/>
  <c r="J63" i="9"/>
  <c r="J44" i="9"/>
  <c r="J96" i="9"/>
  <c r="J41" i="9"/>
  <c r="J37" i="9"/>
  <c r="J112" i="9"/>
  <c r="J89" i="9"/>
  <c r="J116" i="9"/>
  <c r="J121" i="9"/>
  <c r="J67" i="9"/>
  <c r="J115" i="9"/>
  <c r="J62" i="9"/>
  <c r="J34" i="9"/>
  <c r="J35" i="9"/>
  <c r="J106" i="9"/>
  <c r="J50" i="9"/>
  <c r="J39" i="9"/>
  <c r="J43" i="9"/>
  <c r="J85" i="9"/>
  <c r="J95" i="9"/>
  <c r="J99" i="9"/>
  <c r="J31" i="10"/>
  <c r="J97" i="10"/>
  <c r="J84" i="10"/>
  <c r="J96" i="10"/>
  <c r="J74" i="10"/>
  <c r="J46" i="10"/>
  <c r="J75" i="10"/>
  <c r="J60" i="10"/>
  <c r="J45" i="10"/>
  <c r="J72" i="10"/>
  <c r="J40" i="10"/>
  <c r="J101" i="7"/>
  <c r="J49" i="7"/>
  <c r="J57" i="7"/>
  <c r="J82" i="7"/>
  <c r="J76" i="7"/>
  <c r="J89" i="7"/>
  <c r="J107" i="9"/>
  <c r="J49" i="9"/>
  <c r="J103" i="9"/>
  <c r="J111" i="9"/>
  <c r="J83" i="9"/>
  <c r="J88" i="9"/>
  <c r="J109" i="9"/>
  <c r="J77" i="9"/>
  <c r="J48" i="9"/>
  <c r="J71" i="9"/>
  <c r="J42" i="9"/>
  <c r="J98" i="9"/>
  <c r="J79" i="9"/>
  <c r="J31" i="9"/>
  <c r="J94" i="9"/>
  <c r="J64" i="9"/>
  <c r="J108" i="9"/>
  <c r="J73" i="9"/>
  <c r="J74" i="9"/>
  <c r="J56" i="9"/>
  <c r="J101" i="9"/>
  <c r="I123" i="9"/>
  <c r="I8" i="9"/>
  <c r="I40" i="6" s="1"/>
  <c r="J82" i="9"/>
  <c r="J72" i="9"/>
  <c r="J65" i="9"/>
  <c r="J55" i="9"/>
  <c r="J92" i="9"/>
  <c r="J45" i="9"/>
  <c r="J119" i="9"/>
  <c r="J81" i="9"/>
  <c r="J70" i="9"/>
  <c r="J91" i="9"/>
  <c r="J117" i="9"/>
  <c r="J78" i="9"/>
  <c r="J53" i="9"/>
  <c r="J105" i="9"/>
  <c r="J40" i="9"/>
  <c r="J97" i="9"/>
  <c r="J87" i="9"/>
  <c r="J190" i="12"/>
  <c r="J26" i="6" s="1"/>
  <c r="J42" i="6"/>
  <c r="I115" i="6"/>
  <c r="G46" i="22"/>
  <c r="F53" i="22" s="1"/>
  <c r="K12" i="6"/>
  <c r="J73" i="7"/>
  <c r="J62" i="7"/>
  <c r="J65" i="7"/>
  <c r="J41" i="7"/>
  <c r="J77" i="7"/>
  <c r="K17" i="22"/>
  <c r="P3" i="14"/>
  <c r="S16" i="14" s="1"/>
  <c r="K72" i="6"/>
  <c r="K70" i="6"/>
  <c r="K71" i="6"/>
  <c r="K69" i="6"/>
  <c r="K7" i="9"/>
  <c r="K109" i="9" s="1"/>
  <c r="K53" i="6"/>
  <c r="BI8" i="18" s="1"/>
  <c r="BJ36" i="18" s="1"/>
  <c r="K73" i="6"/>
  <c r="J19" i="22"/>
  <c r="O5" i="14"/>
  <c r="R18" i="14" s="1"/>
  <c r="I18" i="22"/>
  <c r="N4" i="14"/>
  <c r="Q17" i="14" s="1"/>
  <c r="Q15" i="14" s="1"/>
  <c r="I102" i="10"/>
  <c r="I8" i="10"/>
  <c r="I41" i="6" s="1"/>
  <c r="K7" i="7"/>
  <c r="K41" i="7" s="1"/>
  <c r="K7" i="10"/>
  <c r="K98" i="10" s="1"/>
  <c r="O7" i="14"/>
  <c r="R20" i="14" s="1"/>
  <c r="J21" i="22"/>
  <c r="J86" i="10"/>
  <c r="J65" i="10"/>
  <c r="J41" i="10"/>
  <c r="J37" i="10"/>
  <c r="J61" i="10"/>
  <c r="J52" i="10"/>
  <c r="J58" i="10"/>
  <c r="J35" i="10"/>
  <c r="J51" i="10"/>
  <c r="J36" i="10"/>
  <c r="J69" i="10"/>
  <c r="J81" i="10"/>
  <c r="J87" i="10"/>
  <c r="J55" i="10"/>
  <c r="J64" i="10"/>
  <c r="J83" i="10"/>
  <c r="J88" i="10"/>
  <c r="I8" i="7"/>
  <c r="I39" i="6" s="1"/>
  <c r="I103" i="7"/>
  <c r="K188" i="12"/>
  <c r="K171" i="12"/>
  <c r="K179" i="12"/>
  <c r="K131" i="12"/>
  <c r="K49" i="12"/>
  <c r="K37" i="12"/>
  <c r="K100" i="12"/>
  <c r="K64" i="12"/>
  <c r="K101" i="12"/>
  <c r="K109" i="12"/>
  <c r="K185" i="12"/>
  <c r="K161" i="12"/>
  <c r="K165" i="12"/>
  <c r="K121" i="12"/>
  <c r="K41" i="12"/>
  <c r="K44" i="12"/>
  <c r="K93" i="12"/>
  <c r="K53" i="12"/>
  <c r="K89" i="12"/>
  <c r="K110" i="12"/>
  <c r="K127" i="12"/>
  <c r="K159" i="12"/>
  <c r="K158" i="12"/>
  <c r="K180" i="12"/>
  <c r="K42" i="12"/>
  <c r="K47" i="12"/>
  <c r="K104" i="12"/>
  <c r="K60" i="12"/>
  <c r="K51" i="12"/>
  <c r="K140" i="12"/>
  <c r="K144" i="12"/>
  <c r="K151" i="12"/>
  <c r="K177" i="12"/>
  <c r="K67" i="12"/>
  <c r="K31" i="12"/>
  <c r="K95" i="12"/>
  <c r="K56" i="12"/>
  <c r="K91" i="12"/>
  <c r="K108" i="12"/>
  <c r="K183" i="12"/>
  <c r="K156" i="12"/>
  <c r="K130" i="12"/>
  <c r="K128" i="12"/>
  <c r="K187" i="12"/>
  <c r="K39" i="12"/>
  <c r="K34" i="12"/>
  <c r="K90" i="12"/>
  <c r="K96" i="12"/>
  <c r="K54" i="12"/>
  <c r="K143" i="12"/>
  <c r="K186" i="12"/>
  <c r="K123" i="12"/>
  <c r="K117" i="12"/>
  <c r="K146" i="12"/>
  <c r="K70" i="12"/>
  <c r="K48" i="12"/>
  <c r="K68" i="12"/>
  <c r="K72" i="12"/>
  <c r="K115" i="12"/>
  <c r="K112" i="12"/>
  <c r="K134" i="12"/>
  <c r="K138" i="12"/>
  <c r="K136" i="12"/>
  <c r="K181" i="12"/>
  <c r="K33" i="12"/>
  <c r="K57" i="12"/>
  <c r="K92" i="12"/>
  <c r="K85" i="12"/>
  <c r="K73" i="12"/>
  <c r="K111" i="12"/>
  <c r="K125" i="12"/>
  <c r="K148" i="12"/>
  <c r="K142" i="12"/>
  <c r="K182" i="12"/>
  <c r="K35" i="12"/>
  <c r="K52" i="12"/>
  <c r="K94" i="12"/>
  <c r="K84" i="12"/>
  <c r="K46" i="12"/>
  <c r="K147" i="12"/>
  <c r="K166" i="12"/>
  <c r="K178" i="12"/>
  <c r="K163" i="12"/>
  <c r="K169" i="12"/>
  <c r="K32" i="12"/>
  <c r="K105" i="12"/>
  <c r="K98" i="12"/>
  <c r="K83" i="12"/>
  <c r="K58" i="12"/>
  <c r="K174" i="12"/>
  <c r="K149" i="12"/>
  <c r="K120" i="12"/>
  <c r="K170" i="12"/>
  <c r="K153" i="12"/>
  <c r="K36" i="12"/>
  <c r="K81" i="12"/>
  <c r="K75" i="12"/>
  <c r="K86" i="12"/>
  <c r="K78" i="12"/>
  <c r="K160" i="12"/>
  <c r="K167" i="12"/>
  <c r="K141" i="12"/>
  <c r="K176" i="12"/>
  <c r="K119" i="12"/>
  <c r="K62" i="12"/>
  <c r="K45" i="12"/>
  <c r="K77" i="12"/>
  <c r="K88" i="12"/>
  <c r="K59" i="12"/>
  <c r="K137" i="12"/>
  <c r="K135" i="12"/>
  <c r="K173" i="12"/>
  <c r="K133" i="12"/>
  <c r="K172" i="12"/>
  <c r="K114" i="12"/>
  <c r="K38" i="12"/>
  <c r="K82" i="12"/>
  <c r="K76" i="12"/>
  <c r="K55" i="12"/>
  <c r="K145" i="12"/>
  <c r="K118" i="12"/>
  <c r="K168" i="12"/>
  <c r="K132" i="12"/>
  <c r="K162" i="12"/>
  <c r="K63" i="12"/>
  <c r="K80" i="12"/>
  <c r="K74" i="12"/>
  <c r="K61" i="12"/>
  <c r="K116" i="12"/>
  <c r="K122" i="12"/>
  <c r="K154" i="12"/>
  <c r="K157" i="12"/>
  <c r="K139" i="12"/>
  <c r="K30" i="12"/>
  <c r="K43" i="12"/>
  <c r="K71" i="12"/>
  <c r="K99" i="12"/>
  <c r="K66" i="12"/>
  <c r="K107" i="12"/>
  <c r="K129" i="12"/>
  <c r="K124" i="12"/>
  <c r="K113" i="12"/>
  <c r="K175" i="12"/>
  <c r="K150" i="12"/>
  <c r="K40" i="12"/>
  <c r="K50" i="12"/>
  <c r="K97" i="12"/>
  <c r="K79" i="12"/>
  <c r="K103" i="12"/>
  <c r="K164" i="12"/>
  <c r="K126" i="12"/>
  <c r="K184" i="12"/>
  <c r="K152" i="12"/>
  <c r="K155" i="12"/>
  <c r="K69" i="12"/>
  <c r="K102" i="12"/>
  <c r="K87" i="12"/>
  <c r="K65" i="12"/>
  <c r="K106" i="12"/>
  <c r="K32" i="13"/>
  <c r="K33" i="13"/>
  <c r="K31" i="13"/>
  <c r="K34" i="13"/>
  <c r="K35" i="13"/>
  <c r="J20" i="22"/>
  <c r="O6" i="14"/>
  <c r="R19" i="14" s="1"/>
  <c r="P11" i="14"/>
  <c r="H74" i="6"/>
  <c r="J37" i="6" l="1"/>
  <c r="K176" i="5"/>
  <c r="J21" i="6" s="1"/>
  <c r="K7" i="12"/>
  <c r="AK42" i="18"/>
  <c r="BB15" i="18"/>
  <c r="BA15" i="18" s="1"/>
  <c r="I54" i="6" s="1"/>
  <c r="BA30" i="18"/>
  <c r="F55" i="6"/>
  <c r="F80" i="6" s="1"/>
  <c r="F91" i="6" s="1"/>
  <c r="I28" i="6"/>
  <c r="I25" i="6"/>
  <c r="I24" i="6"/>
  <c r="I23" i="6"/>
  <c r="L7" i="5"/>
  <c r="BC34" i="18"/>
  <c r="BD30" i="18"/>
  <c r="BC30" i="18" s="1"/>
  <c r="BJ40" i="18"/>
  <c r="BK40" i="18" s="1"/>
  <c r="BK38" i="18" s="1"/>
  <c r="BK36" i="18"/>
  <c r="BK34" i="18" s="1"/>
  <c r="L175" i="5"/>
  <c r="K47" i="7"/>
  <c r="K87" i="7"/>
  <c r="K95" i="7"/>
  <c r="K89" i="7"/>
  <c r="K83" i="10"/>
  <c r="K52" i="7"/>
  <c r="K57" i="7"/>
  <c r="K55" i="7"/>
  <c r="K86" i="7"/>
  <c r="K59" i="7"/>
  <c r="K76" i="10"/>
  <c r="K38" i="7"/>
  <c r="K61" i="7"/>
  <c r="K43" i="7"/>
  <c r="K73" i="7"/>
  <c r="K72" i="7"/>
  <c r="K40" i="7"/>
  <c r="K46" i="7"/>
  <c r="K45" i="7"/>
  <c r="K47" i="10"/>
  <c r="K58" i="10"/>
  <c r="K75" i="10"/>
  <c r="K65" i="10"/>
  <c r="K59" i="10"/>
  <c r="K93" i="10"/>
  <c r="K45" i="10"/>
  <c r="K63" i="10"/>
  <c r="K34" i="10"/>
  <c r="K33" i="10"/>
  <c r="K91" i="10"/>
  <c r="K84" i="10"/>
  <c r="K99" i="10"/>
  <c r="K94" i="10"/>
  <c r="K51" i="10"/>
  <c r="K77" i="10"/>
  <c r="K73" i="10"/>
  <c r="K67" i="10"/>
  <c r="K56" i="10"/>
  <c r="K48" i="10"/>
  <c r="K32" i="10"/>
  <c r="K42" i="10"/>
  <c r="K38" i="10"/>
  <c r="K78" i="10"/>
  <c r="K50" i="10"/>
  <c r="K96" i="10"/>
  <c r="K92" i="10"/>
  <c r="K81" i="10"/>
  <c r="K36" i="10"/>
  <c r="K66" i="10"/>
  <c r="K61" i="10"/>
  <c r="K63" i="7"/>
  <c r="K79" i="7"/>
  <c r="K36" i="7"/>
  <c r="K70" i="7"/>
  <c r="K35" i="7"/>
  <c r="K50" i="7"/>
  <c r="K97" i="7"/>
  <c r="K56" i="7"/>
  <c r="K71" i="7"/>
  <c r="K90" i="10"/>
  <c r="K40" i="10"/>
  <c r="K86" i="10"/>
  <c r="K69" i="10"/>
  <c r="K97" i="10"/>
  <c r="K95" i="10"/>
  <c r="K85" i="10"/>
  <c r="K54" i="10"/>
  <c r="K31" i="10"/>
  <c r="K100" i="10"/>
  <c r="K53" i="10"/>
  <c r="K58" i="7"/>
  <c r="K42" i="7"/>
  <c r="K94" i="7"/>
  <c r="K69" i="7"/>
  <c r="K60" i="7"/>
  <c r="K48" i="7"/>
  <c r="K91" i="7"/>
  <c r="K51" i="7"/>
  <c r="K78" i="7"/>
  <c r="K64" i="9"/>
  <c r="K95" i="9"/>
  <c r="K53" i="9"/>
  <c r="J8" i="9"/>
  <c r="J40" i="6" s="1"/>
  <c r="J103" i="7"/>
  <c r="K101" i="7"/>
  <c r="K34" i="7"/>
  <c r="K66" i="7"/>
  <c r="K49" i="10"/>
  <c r="K74" i="10"/>
  <c r="K71" i="10"/>
  <c r="K44" i="10"/>
  <c r="K64" i="10"/>
  <c r="K82" i="10"/>
  <c r="K79" i="10"/>
  <c r="K52" i="10"/>
  <c r="K80" i="10"/>
  <c r="K55" i="10"/>
  <c r="K46" i="10"/>
  <c r="K43" i="10"/>
  <c r="K57" i="10"/>
  <c r="K68" i="10"/>
  <c r="K68" i="7"/>
  <c r="K84" i="7"/>
  <c r="K74" i="7"/>
  <c r="K100" i="7"/>
  <c r="K75" i="7"/>
  <c r="K44" i="7"/>
  <c r="K92" i="7"/>
  <c r="K82" i="7"/>
  <c r="K39" i="7"/>
  <c r="K93" i="7"/>
  <c r="K88" i="7"/>
  <c r="K37" i="7"/>
  <c r="K83" i="7"/>
  <c r="K65" i="9"/>
  <c r="J8" i="7"/>
  <c r="J39" i="6" s="1"/>
  <c r="K47" i="9"/>
  <c r="K108" i="9"/>
  <c r="K68" i="9"/>
  <c r="K116" i="9"/>
  <c r="K117" i="9"/>
  <c r="K60" i="9"/>
  <c r="K94" i="9"/>
  <c r="K100" i="9"/>
  <c r="K76" i="9"/>
  <c r="K72" i="9"/>
  <c r="J123" i="9"/>
  <c r="K39" i="10"/>
  <c r="K35" i="10"/>
  <c r="K72" i="10"/>
  <c r="K80" i="7"/>
  <c r="K65" i="7"/>
  <c r="K85" i="7"/>
  <c r="K90" i="7"/>
  <c r="K62" i="7"/>
  <c r="K31" i="7"/>
  <c r="K99" i="7"/>
  <c r="K54" i="7"/>
  <c r="K37" i="9"/>
  <c r="K59" i="9"/>
  <c r="K45" i="9"/>
  <c r="K44" i="9"/>
  <c r="K74" i="9"/>
  <c r="K34" i="9"/>
  <c r="K58" i="9"/>
  <c r="K48" i="9"/>
  <c r="K83" i="9"/>
  <c r="K73" i="9"/>
  <c r="K70" i="9"/>
  <c r="K87" i="9"/>
  <c r="K36" i="9"/>
  <c r="K66" i="9"/>
  <c r="K88" i="9"/>
  <c r="K101" i="9"/>
  <c r="K114" i="9"/>
  <c r="K67" i="9"/>
  <c r="K115" i="9"/>
  <c r="K82" i="9"/>
  <c r="K113" i="9"/>
  <c r="K111" i="9"/>
  <c r="K103" i="9"/>
  <c r="K63" i="9"/>
  <c r="K90" i="9"/>
  <c r="K80" i="9"/>
  <c r="K118" i="9"/>
  <c r="K86" i="9"/>
  <c r="K61" i="9"/>
  <c r="K102" i="9"/>
  <c r="K71" i="9"/>
  <c r="K98" i="9"/>
  <c r="K110" i="9"/>
  <c r="K120" i="9"/>
  <c r="K49" i="9"/>
  <c r="K39" i="9"/>
  <c r="K99" i="9"/>
  <c r="K81" i="9"/>
  <c r="K106" i="9"/>
  <c r="K69" i="9"/>
  <c r="J8" i="10"/>
  <c r="J41" i="6" s="1"/>
  <c r="K119" i="9"/>
  <c r="K92" i="9"/>
  <c r="K32" i="9"/>
  <c r="K112" i="9"/>
  <c r="K51" i="9"/>
  <c r="K85" i="9"/>
  <c r="K35" i="9"/>
  <c r="K84" i="9"/>
  <c r="K104" i="9"/>
  <c r="K31" i="9"/>
  <c r="K46" i="9"/>
  <c r="K97" i="9"/>
  <c r="K79" i="9"/>
  <c r="K40" i="9"/>
  <c r="K41" i="9"/>
  <c r="K105" i="9"/>
  <c r="K43" i="9"/>
  <c r="H83" i="6"/>
  <c r="G94" i="6" s="1"/>
  <c r="K96" i="7"/>
  <c r="K81" i="7"/>
  <c r="K77" i="7"/>
  <c r="J18" i="22"/>
  <c r="O4" i="14"/>
  <c r="R17" i="14" s="1"/>
  <c r="R15" i="14" s="1"/>
  <c r="P9" i="14"/>
  <c r="S22" i="14" s="1"/>
  <c r="K20" i="22"/>
  <c r="P6" i="14"/>
  <c r="S19" i="14" s="1"/>
  <c r="J102" i="10"/>
  <c r="I74" i="6"/>
  <c r="I83" i="6" s="1"/>
  <c r="Q11" i="14"/>
  <c r="K52" i="9"/>
  <c r="K50" i="9"/>
  <c r="K33" i="9"/>
  <c r="K75" i="9"/>
  <c r="K57" i="9"/>
  <c r="P8" i="14"/>
  <c r="S21" i="14" s="1"/>
  <c r="K190" i="12"/>
  <c r="K26" i="6" s="1"/>
  <c r="K42" i="6"/>
  <c r="K54" i="9"/>
  <c r="K19" i="22"/>
  <c r="K68" i="6"/>
  <c r="P5" i="14"/>
  <c r="S18" i="14" s="1"/>
  <c r="K87" i="10"/>
  <c r="K60" i="10"/>
  <c r="K37" i="10"/>
  <c r="K41" i="10"/>
  <c r="K89" i="10"/>
  <c r="K70" i="10"/>
  <c r="K62" i="10"/>
  <c r="K88" i="10"/>
  <c r="K67" i="7"/>
  <c r="K33" i="7"/>
  <c r="K76" i="7"/>
  <c r="K64" i="7"/>
  <c r="K49" i="7"/>
  <c r="K53" i="7"/>
  <c r="K56" i="9"/>
  <c r="K91" i="9"/>
  <c r="K89" i="9"/>
  <c r="K93" i="9"/>
  <c r="K42" i="9"/>
  <c r="K96" i="9"/>
  <c r="K62" i="9"/>
  <c r="K77" i="9"/>
  <c r="K55" i="9"/>
  <c r="K107" i="9"/>
  <c r="K121" i="9"/>
  <c r="K78" i="9"/>
  <c r="K38" i="9"/>
  <c r="K21" i="22"/>
  <c r="P7" i="14"/>
  <c r="S20" i="14" s="1"/>
  <c r="K37" i="6" l="1"/>
  <c r="L176" i="5"/>
  <c r="K21" i="6" s="1"/>
  <c r="BB42" i="18"/>
  <c r="BB44" i="18" s="1"/>
  <c r="BA44" i="18" s="1"/>
  <c r="I55" i="6"/>
  <c r="I80" i="6" s="1"/>
  <c r="AJ42" i="18"/>
  <c r="AK44" i="18"/>
  <c r="AJ44" i="18" s="1"/>
  <c r="J24" i="6"/>
  <c r="J25" i="6"/>
  <c r="K103" i="7"/>
  <c r="K23" i="6" s="1"/>
  <c r="J23" i="6"/>
  <c r="J28" i="6"/>
  <c r="BK30" i="18"/>
  <c r="BD15" i="18"/>
  <c r="BC15" i="18" s="1"/>
  <c r="K8" i="7"/>
  <c r="K39" i="6" s="1"/>
  <c r="K8" i="9"/>
  <c r="K40" i="6" s="1"/>
  <c r="K8" i="10"/>
  <c r="K41" i="6" s="1"/>
  <c r="K102" i="10"/>
  <c r="K18" i="22"/>
  <c r="P4" i="14"/>
  <c r="S17" i="14" s="1"/>
  <c r="S15" i="14" s="1"/>
  <c r="E29" i="22"/>
  <c r="K123" i="9"/>
  <c r="R11" i="14"/>
  <c r="J74" i="6"/>
  <c r="J83" i="6" s="1"/>
  <c r="H94" i="6" s="1"/>
  <c r="D26" i="22"/>
  <c r="BA42" i="18" l="1"/>
  <c r="BK15" i="18"/>
  <c r="BJ15" i="18" s="1"/>
  <c r="K54" i="6" s="1"/>
  <c r="BJ30" i="18"/>
  <c r="K25" i="6"/>
  <c r="K24" i="6"/>
  <c r="BD42" i="18"/>
  <c r="J54" i="6"/>
  <c r="H100" i="6" s="1"/>
  <c r="F48" i="22" s="1"/>
  <c r="F29" i="22"/>
  <c r="J55" i="6"/>
  <c r="J80" i="6" s="1"/>
  <c r="H91" i="6" s="1"/>
  <c r="S11" i="14"/>
  <c r="K74" i="6"/>
  <c r="K83" i="6" s="1"/>
  <c r="I94" i="6" s="1"/>
  <c r="G29" i="22" s="1"/>
  <c r="BK42" i="18" l="1"/>
  <c r="BJ42" i="18" s="1"/>
  <c r="K28" i="6"/>
  <c r="BC42" i="18"/>
  <c r="BD44" i="18"/>
  <c r="BC44" i="18" s="1"/>
  <c r="BK44" i="18"/>
  <c r="BJ44" i="18" s="1"/>
  <c r="K55" i="6"/>
  <c r="K80" i="6" s="1"/>
  <c r="I91" i="6" s="1"/>
  <c r="G26" i="22" s="1"/>
  <c r="F26" i="22"/>
  <c r="I100" i="6"/>
  <c r="G48" i="22" s="1"/>
  <c r="BK45" i="18" l="1"/>
  <c r="AR29" i="18" l="1"/>
  <c r="AR26" i="18" s="1"/>
  <c r="AR18" i="18" l="1"/>
  <c r="AQ18" i="18" s="1"/>
  <c r="BC26" i="18"/>
  <c r="AR15" i="18" l="1"/>
  <c r="AQ15" i="18" s="1"/>
  <c r="G54" i="6" l="1"/>
  <c r="G55" i="6"/>
  <c r="G80" i="6" s="1"/>
  <c r="AR42" i="18"/>
  <c r="AR44" i="18" l="1"/>
  <c r="AQ44" i="18" s="1"/>
  <c r="AQ42" i="18"/>
  <c r="BB45" i="18" l="1"/>
  <c r="AR45" i="18"/>
  <c r="I36" i="13" l="1"/>
  <c r="K36" i="13"/>
  <c r="H36" i="13"/>
  <c r="E36" i="13"/>
  <c r="G36" i="13"/>
  <c r="F36" i="13"/>
  <c r="J36" i="13"/>
  <c r="G40" i="13"/>
  <c r="I40" i="13"/>
  <c r="E40" i="13"/>
  <c r="K40" i="13"/>
  <c r="J40" i="13"/>
  <c r="F40" i="13"/>
  <c r="H40" i="13"/>
  <c r="J47" i="13"/>
  <c r="H47" i="13"/>
  <c r="K47" i="13"/>
  <c r="G47" i="13"/>
  <c r="I47" i="13"/>
  <c r="F47" i="13"/>
  <c r="E47" i="13"/>
  <c r="G48" i="13"/>
  <c r="E48" i="13"/>
  <c r="K48" i="13"/>
  <c r="J48" i="13"/>
  <c r="I48" i="13"/>
  <c r="F48" i="13"/>
  <c r="H48" i="13"/>
  <c r="F42" i="13"/>
  <c r="G42" i="13"/>
  <c r="J42" i="13"/>
  <c r="E42" i="13"/>
  <c r="I42" i="13"/>
  <c r="H42" i="13"/>
  <c r="K42" i="13"/>
  <c r="H39" i="13"/>
  <c r="F39" i="13"/>
  <c r="K39" i="13"/>
  <c r="G39" i="13"/>
  <c r="J39" i="13"/>
  <c r="E39" i="13"/>
  <c r="I39" i="13"/>
  <c r="K41" i="13"/>
  <c r="E41" i="13"/>
  <c r="I41" i="13"/>
  <c r="J41" i="13"/>
  <c r="H41" i="13"/>
  <c r="G41" i="13"/>
  <c r="F41" i="13"/>
  <c r="K51" i="13"/>
  <c r="E51" i="13"/>
  <c r="G51" i="13"/>
  <c r="F51" i="13"/>
  <c r="I51" i="13"/>
  <c r="J51" i="13"/>
  <c r="H51" i="13"/>
  <c r="J46" i="13"/>
  <c r="E46" i="13"/>
  <c r="H46" i="13"/>
  <c r="K46" i="13"/>
  <c r="I46" i="13"/>
  <c r="F46" i="13"/>
  <c r="G46" i="13"/>
  <c r="F50" i="13"/>
  <c r="I50" i="13"/>
  <c r="J50" i="13"/>
  <c r="G50" i="13"/>
  <c r="E50" i="13"/>
  <c r="K50" i="13"/>
  <c r="H50" i="13"/>
  <c r="E45" i="13"/>
  <c r="E25" i="13" s="1"/>
  <c r="K25" i="13" s="1"/>
  <c r="J45" i="13"/>
  <c r="K45" i="13"/>
  <c r="G45" i="13"/>
  <c r="H45" i="13"/>
  <c r="F45" i="13"/>
  <c r="I45" i="13"/>
  <c r="G44" i="13"/>
  <c r="K44" i="13"/>
  <c r="E44" i="13"/>
  <c r="I44" i="13"/>
  <c r="J44" i="13"/>
  <c r="H44" i="13"/>
  <c r="F44" i="13"/>
  <c r="H38" i="13"/>
  <c r="G38" i="13"/>
  <c r="I38" i="13"/>
  <c r="F38" i="13"/>
  <c r="K38" i="13"/>
  <c r="J38" i="13"/>
  <c r="E38" i="13"/>
  <c r="E13" i="13" s="1"/>
  <c r="K13" i="13" s="1"/>
  <c r="G43" i="13"/>
  <c r="F43" i="13"/>
  <c r="K43" i="13"/>
  <c r="J43" i="13"/>
  <c r="E43" i="13"/>
  <c r="I43" i="13"/>
  <c r="H43" i="13"/>
  <c r="G49" i="13"/>
  <c r="J49" i="13"/>
  <c r="E49" i="13"/>
  <c r="E26" i="13" s="1"/>
  <c r="K26" i="13" s="1"/>
  <c r="H49" i="13"/>
  <c r="K49" i="13"/>
  <c r="F49" i="13"/>
  <c r="I49" i="13"/>
  <c r="I37" i="13"/>
  <c r="F37" i="13"/>
  <c r="J37" i="13"/>
  <c r="G37" i="13"/>
  <c r="E37" i="13"/>
  <c r="E16" i="13"/>
  <c r="K16" i="13" s="1"/>
  <c r="K37" i="13"/>
  <c r="E24" i="13"/>
  <c r="K24" i="13" s="1"/>
  <c r="H37" i="13"/>
  <c r="E8" i="13" l="1"/>
  <c r="E104" i="13"/>
  <c r="E27" i="6" s="1"/>
  <c r="E18" i="13"/>
  <c r="K18" i="13" s="1"/>
  <c r="F8" i="13"/>
  <c r="F43" i="6" s="1"/>
  <c r="F36" i="6" s="1"/>
  <c r="F104" i="13"/>
  <c r="F27" i="6" s="1"/>
  <c r="J8" i="13"/>
  <c r="J43" i="6" s="1"/>
  <c r="J36" i="6" s="1"/>
  <c r="J79" i="6" s="1"/>
  <c r="J78" i="6" s="1"/>
  <c r="J104" i="13"/>
  <c r="J27" i="6" s="1"/>
  <c r="G8" i="13"/>
  <c r="G43" i="6" s="1"/>
  <c r="G36" i="6" s="1"/>
  <c r="G104" i="13"/>
  <c r="G27" i="6" s="1"/>
  <c r="I8" i="13"/>
  <c r="I43" i="6" s="1"/>
  <c r="I36" i="6" s="1"/>
  <c r="I104" i="13"/>
  <c r="I27" i="6" s="1"/>
  <c r="H8" i="13"/>
  <c r="H43" i="6" s="1"/>
  <c r="H36" i="6" s="1"/>
  <c r="H79" i="6" s="1"/>
  <c r="K8" i="13"/>
  <c r="K43" i="6" s="1"/>
  <c r="K36" i="6" s="1"/>
  <c r="K104" i="13"/>
  <c r="K27" i="6" s="1"/>
  <c r="H104" i="13"/>
  <c r="H27" i="6" s="1"/>
  <c r="F79" i="6"/>
  <c r="F78" i="6" s="1"/>
  <c r="F20" i="6"/>
  <c r="F99" i="6" s="1"/>
  <c r="E43" i="6"/>
  <c r="E36" i="6" s="1"/>
  <c r="E21" i="13"/>
  <c r="K21" i="13" s="1"/>
  <c r="E23" i="13"/>
  <c r="K23" i="13" s="1"/>
  <c r="E17" i="13"/>
  <c r="K17" i="13" s="1"/>
  <c r="E15" i="13"/>
  <c r="K15" i="13" s="1"/>
  <c r="H20" i="6" l="1"/>
  <c r="G99" i="6" s="1"/>
  <c r="J20" i="6"/>
  <c r="H99" i="6" s="1"/>
  <c r="I20" i="6"/>
  <c r="I79" i="6"/>
  <c r="H90" i="6" s="1"/>
  <c r="K20" i="6"/>
  <c r="K79" i="6"/>
  <c r="K78" i="6" s="1"/>
  <c r="E47" i="22"/>
  <c r="G116" i="6"/>
  <c r="D47" i="22"/>
  <c r="F116" i="6"/>
  <c r="E20" i="6"/>
  <c r="E79" i="6"/>
  <c r="H116" i="6"/>
  <c r="F47" i="22"/>
  <c r="G79" i="6"/>
  <c r="G20" i="6"/>
  <c r="I78" i="6" l="1"/>
  <c r="I90" i="6"/>
  <c r="G25" i="22" s="1"/>
  <c r="G24" i="22" s="1"/>
  <c r="I99" i="6"/>
  <c r="K5" i="6"/>
  <c r="H89" i="6"/>
  <c r="F25" i="22"/>
  <c r="F24" i="22" s="1"/>
  <c r="D49" i="22"/>
  <c r="C54" i="22"/>
  <c r="F49" i="22"/>
  <c r="E54" i="22"/>
  <c r="I89" i="6"/>
  <c r="F90" i="6"/>
  <c r="E78" i="6"/>
  <c r="G90" i="6"/>
  <c r="E25" i="22" s="1"/>
  <c r="G78" i="6"/>
  <c r="D54" i="22"/>
  <c r="G47" i="22" l="1"/>
  <c r="I116" i="6"/>
  <c r="D25" i="22"/>
  <c r="D24" i="22" s="1"/>
  <c r="F89" i="6"/>
  <c r="F54" i="22" l="1"/>
  <c r="G49" i="22"/>
  <c r="AU18" i="18" l="1"/>
  <c r="AU15" i="18" l="1"/>
  <c r="AT18" i="18"/>
  <c r="AT11" i="18" s="1"/>
  <c r="H55" i="6" l="1"/>
  <c r="H80" i="6" s="1"/>
  <c r="AU42" i="18"/>
  <c r="AT42" i="18" s="1"/>
  <c r="AT15" i="18"/>
  <c r="H54" i="6" s="1"/>
  <c r="G100" i="6" s="1"/>
  <c r="E48" i="22" s="1"/>
  <c r="E49" i="22" s="1"/>
  <c r="G91" i="6" l="1"/>
  <c r="H78" i="6"/>
  <c r="G89" i="6" l="1"/>
  <c r="E26" i="22"/>
  <c r="E24" i="22" s="1"/>
</calcChain>
</file>

<file path=xl/comments1.xml><?xml version="1.0" encoding="utf-8"?>
<comments xmlns="http://schemas.openxmlformats.org/spreadsheetml/2006/main">
  <authors>
    <author>Nelli Meliqyan</author>
  </authors>
  <commentList>
    <comment ref="B110" authorId="0" shapeId="0">
      <text>
        <r>
          <rPr>
            <b/>
            <sz val="9"/>
            <color indexed="81"/>
            <rFont val="Tahoma"/>
            <family val="2"/>
          </rPr>
          <t xml:space="preserve">այս ստաժի տարիներից նոր հաշվարկով ավելի ցածր է կ/թ չափը, հետևաբար ավելացում չի լինում:
</t>
        </r>
        <r>
          <rPr>
            <sz val="9"/>
            <color indexed="81"/>
            <rFont val="Tahoma"/>
            <family val="2"/>
          </rPr>
          <t xml:space="preserve">
</t>
        </r>
      </text>
    </comment>
  </commentList>
</comments>
</file>

<file path=xl/comments2.xml><?xml version="1.0" encoding="utf-8"?>
<comments xmlns="http://schemas.openxmlformats.org/spreadsheetml/2006/main">
  <authors>
    <author>Nelli Meliqyan</author>
  </authors>
  <commentList>
    <comment ref="I7" authorId="0" shapeId="0">
      <text>
        <r>
          <rPr>
            <b/>
            <sz val="9"/>
            <color indexed="81"/>
            <rFont val="Tahoma"/>
            <family val="2"/>
          </rPr>
          <t>Ծանոթություն՝ Երկկողմանի կենսաթոշակառուի 2 ծնողի ստաժերը գումարված են</t>
        </r>
        <r>
          <rPr>
            <sz val="9"/>
            <color indexed="81"/>
            <rFont val="Tahoma"/>
            <family val="2"/>
          </rPr>
          <t xml:space="preserve">
</t>
        </r>
      </text>
    </comment>
  </commentList>
</comments>
</file>

<file path=xl/sharedStrings.xml><?xml version="1.0" encoding="utf-8"?>
<sst xmlns="http://schemas.openxmlformats.org/spreadsheetml/2006/main" count="1158" uniqueCount="278">
  <si>
    <t>Տարի</t>
  </si>
  <si>
    <t>Քանակը</t>
  </si>
  <si>
    <t>ՀՀ դրամ</t>
  </si>
  <si>
    <t>կ/թ չափը</t>
  </si>
  <si>
    <t>Գում. ստաժը</t>
  </si>
  <si>
    <t>Հաշմանդամության` որից</t>
  </si>
  <si>
    <t>Ընդամենը (Տարիքային+Արտոնյալ+Երկարամյա ծառ. +Մասնակի)</t>
  </si>
  <si>
    <t>Միջին կ/թ</t>
  </si>
  <si>
    <t>Հաշմանդամության 
1
 խումբ</t>
  </si>
  <si>
    <t>Հաշմանդամության 
2
 խումբ</t>
  </si>
  <si>
    <t>Հաշմանդամության 
3
 խումբ</t>
  </si>
  <si>
    <t xml:space="preserve">Վճարատեսակը </t>
  </si>
  <si>
    <t>առ 01.04.2021թ</t>
  </si>
  <si>
    <t>Քանակ</t>
  </si>
  <si>
    <t>Ծերության նպաստ</t>
  </si>
  <si>
    <t>Հաշմանդամության նպաստ</t>
  </si>
  <si>
    <t>Կերակրողին կորցնելու դեպքում նպաստ</t>
  </si>
  <si>
    <t>Ընդամենը նպաստներ</t>
  </si>
  <si>
    <t>Ընդամենը</t>
  </si>
  <si>
    <t>մեկ կերակրողին կորցրած</t>
  </si>
  <si>
    <t>2 ծնողին կորցրած</t>
  </si>
  <si>
    <t>Գում. Ստաժը</t>
  </si>
  <si>
    <t>հիմնական կենսաթոշակ</t>
  </si>
  <si>
    <t>նվազագույն կենսաթոշակ</t>
  </si>
  <si>
    <t>1 տարի մինչև 10</t>
  </si>
  <si>
    <t>1 տարի 10-ից ավելի</t>
  </si>
  <si>
    <t xml:space="preserve">Ընդամենը </t>
  </si>
  <si>
    <t>Տարիքային+Արտոնյալ+Երկարամյա ծառ. +Մասնակի</t>
  </si>
  <si>
    <t>Կ=Հ+ (Ս X Ա) X Գ </t>
  </si>
  <si>
    <t>Կ=Հ+ (10 X Ա+(Ս-10) X Ա1) X Գ </t>
  </si>
  <si>
    <t>գործակից</t>
  </si>
  <si>
    <t>կ/թ</t>
  </si>
  <si>
    <t xml:space="preserve">Տարիքային, արտոնյալ, երկարամյա, մասնակի </t>
  </si>
  <si>
    <t>1-ին խումբ</t>
  </si>
  <si>
    <t>2-րդ խումբ</t>
  </si>
  <si>
    <t>3-րդ խումբ</t>
  </si>
  <si>
    <t>Հաշմադամության աշխատանքային կենսաթոշակ 1-ին խմբով</t>
  </si>
  <si>
    <t>հավելում</t>
  </si>
  <si>
    <t>կ/թ հաշվարկային չափը</t>
  </si>
  <si>
    <t>Կ=Հ+ (Ս X Ա) X Գ +Հ X 40%</t>
  </si>
  <si>
    <t>Կ=Հ+ (10 X Ա+(Ս-10) X Ա1) X Գ +Հ X 40%</t>
  </si>
  <si>
    <t>Կ=Հ+ (Ս X Ա) X Գ +Հ X 20%</t>
  </si>
  <si>
    <t>Կ=Հ+ (10 X Ա+(Ս-10) X Ա1) X Գ +Հ X 20%</t>
  </si>
  <si>
    <t>Կ=Հ+ (Ս X Ա) X Գ /2</t>
  </si>
  <si>
    <t>Կ=Հ+ (10 X Ա+(Ս-10) X Ա1) X Գ /2</t>
  </si>
  <si>
    <t>կերակրողը կորցրած միակողմանի ծնողազուրկ երեխաների սոցիալական նպաստներ</t>
  </si>
  <si>
    <t>կերակրողը կորցրած երկկողմանի ծնողազուրկ երեխաների սոցիալական նպաստներ</t>
  </si>
  <si>
    <t>1-ին խմբի հաշմանդամի համար</t>
  </si>
  <si>
    <t>2- րդ խմբի հաշմանդամի համար</t>
  </si>
  <si>
    <t>3- րդ խմբի հաշմանդամի համար</t>
  </si>
  <si>
    <t>հաշմանդամ երեխա ճանաչված անձի համար (մանկուց հաշմանդամ)</t>
  </si>
  <si>
    <t>ծերության նպաստ</t>
  </si>
  <si>
    <t>մանկուց հաշմանդամ երեխայի նպաստ</t>
  </si>
  <si>
    <t>կերակրողը կորցնելոը դեպքում նպաստ /երկկողմանի ծնողազուրկ երեխա/</t>
  </si>
  <si>
    <t>նպաստներ</t>
  </si>
  <si>
    <t>Նպաստներ</t>
  </si>
  <si>
    <t>Հիմնական ցուցանիշներ</t>
  </si>
  <si>
    <t>1. Աշխատանքային կենսաթոշակներ</t>
  </si>
  <si>
    <t>կերակրողը կորցնելու դեպքում նպաստ /երկկողմանի ծնողազուրկ երեխա/</t>
  </si>
  <si>
    <t>զինծառայության ստաժի 1 տարվա արժեք</t>
  </si>
  <si>
    <t>4. Սոցերաշխիքներով սահմանված կենսաթոշակ</t>
  </si>
  <si>
    <t>Մասնագիտական ստաժի 1 տարվա արժեք</t>
  </si>
  <si>
    <t>աշխատանքային ստաժի 1 տարվա արժեք՝ մինչև 10 տարի</t>
  </si>
  <si>
    <t>աշխատանքային ստաժի 1 տարվա արժեք՝ 10 տարուց ավելի</t>
  </si>
  <si>
    <t>Հաշմանդամության կենսաթոշակներ</t>
  </si>
  <si>
    <t>կերակրողը կորցնելու դեպքում նպաստ /միակողմանի ծնողազուրկ երեխա, ընտանիքի այլ անդամ/</t>
  </si>
  <si>
    <t>Պարտադիր ժամկետային զինվորական ծառայության շարքային կազմի զինծառայողի հաշմանդամության զինվորական կենսաթոշակի չափը, այդ թվում՝</t>
  </si>
  <si>
    <t>կերակրողը կորցնելու դեպքում նպաստ /միակողմանի ծնողազուրկ երեխա, այլ անդամ/</t>
  </si>
  <si>
    <t>Հ/Հ</t>
  </si>
  <si>
    <t>Ծախսերի ցուցանիշները`</t>
  </si>
  <si>
    <t>Զինվորական ծառայության ստաժի միջինացված տարիներ</t>
  </si>
  <si>
    <t>Հիմնական կենսաթոշակի չափը /դրամ/</t>
  </si>
  <si>
    <t xml:space="preserve">Զինծառայողի անձնական գործակիցը </t>
  </si>
  <si>
    <t xml:space="preserve">Զինվորական ծառայության ստաժի մեկ տարվա արժեքը /դրամ/ </t>
  </si>
  <si>
    <t>կենսաթոշակառուների միջին  թվաքանակը</t>
  </si>
  <si>
    <t xml:space="preserve">կենսաթոշակի միջին ամսական չափը /դրամ/ </t>
  </si>
  <si>
    <t>գումարը /հազ.դրամ/</t>
  </si>
  <si>
    <t>Ա</t>
  </si>
  <si>
    <t>Զինվորական կենսաթոշակներ,                    այդ թվում</t>
  </si>
  <si>
    <t>20 տարվա զինվորական ծառայության ստաժ ունեցող երկարամյա  զինվորական կենսաթոշակառուներ</t>
  </si>
  <si>
    <t>20 տարուց ավելի զինվորական ծառայության ստաժ ունեցող երկարամյա  զինվորական կենսաթոշակառուներ</t>
  </si>
  <si>
    <t>Հաշմանդամության զինվորական կենսաթոշակառուներ, այդ թվում</t>
  </si>
  <si>
    <t>1-ին խմբի հաշմանդամների (20 տարվա զինծառայության ստաժ ունեցող երկարամյա ծառայության զինկենսաթոշակի 70 տոկոսի չափով)</t>
  </si>
  <si>
    <t>2- րդ խմբի հաշմանդամների  (20 տարվա զինծառայության ստած ունեցող երկարամյա ծառայության զինկենսաթոշակի 60 տոկոսի չափով)</t>
  </si>
  <si>
    <t>3- րդ խմբի հաշմանդամների  (20 տարվա զինծառայության ստած ունեցող երկարամյա ծառայության զինկենսաթոշակի 40 տոկոսի չափով)</t>
  </si>
  <si>
    <t>պարտադիր ժամկետային զինվորական ծառայության շարքային կազմի զինծառայողի, այդ թվում</t>
  </si>
  <si>
    <t>3.4.1</t>
  </si>
  <si>
    <t>1-ին խմբի հաշմանդամներ</t>
  </si>
  <si>
    <t>x</t>
  </si>
  <si>
    <t>3.4.2</t>
  </si>
  <si>
    <t>2-րդ խմբի հաշմանդամներ</t>
  </si>
  <si>
    <t>3.4.3</t>
  </si>
  <si>
    <t>3-րդ խմբի հաշմանդամներ</t>
  </si>
  <si>
    <t xml:space="preserve"> Հայաստանի Հանրապետության պաշտպանության մարտական գործողությունների մասնակցի, այդ թվում </t>
  </si>
  <si>
    <t>3.5.1</t>
  </si>
  <si>
    <t>3.5.2</t>
  </si>
  <si>
    <t>3.5.3</t>
  </si>
  <si>
    <t>Կերակրողին կորցնելու դեպքում զինվորական կենսաթոշակառուներ, այդ թվում</t>
  </si>
  <si>
    <t>յուրաքանչյուր երեխայի, առկա (ցերեկային) ուuուցմամբ uովորողի համար (20 տարվա զինծառայության ստած ունեցող երկարամյա ծառայության զինկենսաթոշակի 60 տոկոսի չափով)</t>
  </si>
  <si>
    <t>երկու ծնողին կորցրած մինչեւ 18 տարեկան յուրաքանչյուր երեխայի, առկա (ցերեկային) ուuուցմամբ uովորողի համար (20 տարվա զինծառայության ստած ունեցող երկարամյա ծառայության զինկենսաթոշակի 80 տոկոսի չափով)</t>
  </si>
  <si>
    <t>ընտանիքի` օրենքի 13-րդ հոդվածում նշված յուրաքանչյուր մյուս անդամի համար (20 տարվա զինծառայության ստած ունեցող երկարամյա ծառայության զինկենսաթոշակի 40 տոկոսի չափով)</t>
  </si>
  <si>
    <t xml:space="preserve">պարտադիր ժամկետային զինվորական ծառայության շարքային կազմի մահացած (զոհված) զինծառայողի ընտանիքի անդամի (այդ թվում՝ երկու ծնողին կորցրած երեխայի, առկա (ցերեկային) ուuուցմամբ uովորողի) կերակրողին կորցնելու դեպքում, այդ թվում </t>
  </si>
  <si>
    <t>երեխա</t>
  </si>
  <si>
    <t>երկկողմանի ծնողազուրկ</t>
  </si>
  <si>
    <t>այլ անդամ</t>
  </si>
  <si>
    <t xml:space="preserve"> Հայաստանի Հանրապետության պաշտպանության մարտական գործողությունների մասնակցի, այդ թվում  </t>
  </si>
  <si>
    <t>Պարտադիր ժամկետային զինվորական ծառայության շարքային կազմի մահացած (զոհված) զինծառայողի ընտանիքի անդամի կերակրողին կորցնելու դեպքում զինվորական կենսաթոշակի չափը</t>
  </si>
  <si>
    <t xml:space="preserve">«ՀՀ օրենքով նշանակված կենսաթոշակներ» միջոցառման գծով </t>
  </si>
  <si>
    <t>մասնագիտական ստաժի 1 տարվա արժեք</t>
  </si>
  <si>
    <t>01.01.2021 թ. Դրությամբ Իրավունք ձեռքբերած</t>
  </si>
  <si>
    <t>2022թ․</t>
  </si>
  <si>
    <t>2023թ․</t>
  </si>
  <si>
    <t>2024թ․</t>
  </si>
  <si>
    <t>2025թ․</t>
  </si>
  <si>
    <t>2026թ․</t>
  </si>
  <si>
    <t>Մասնագիտական  ստաժի միջինացված տարիներ</t>
  </si>
  <si>
    <t xml:space="preserve">Կենսաթոշակառուի անձնական գործակիցը </t>
  </si>
  <si>
    <t xml:space="preserve">Մասնագիտական ստաժի մեկ տարվա արժեքը /դրամ/ </t>
  </si>
  <si>
    <t xml:space="preserve">կենսաթոշակառուների միջին թվաքանակը </t>
  </si>
  <si>
    <t xml:space="preserve">կենսաթոշակի միջին չափը /դրամ/ </t>
  </si>
  <si>
    <t>ՀՀ պաշտոնաթող Նախագահ</t>
  </si>
  <si>
    <t>ՀՀ սահմանադրական դատարանի անդամներ</t>
  </si>
  <si>
    <t xml:space="preserve">Դատավորներ </t>
  </si>
  <si>
    <t xml:space="preserve">Դատախազներ </t>
  </si>
  <si>
    <t xml:space="preserve">Հատուկ քննչական ծառայության ծառայողներ </t>
  </si>
  <si>
    <t xml:space="preserve">Քննչական ծառայության կոմիտեի ծառայողներ </t>
  </si>
  <si>
    <t>ՀՀ մարդու իրավունքների պաշտպան</t>
  </si>
  <si>
    <t>ՀՀ Ազգային ժողովի պատգամավորներ կամ ՀՀ Գերագույն խորհրդի պատգամավորներ</t>
  </si>
  <si>
    <t>Մաքսային ծառայության քննիչներ</t>
  </si>
  <si>
    <t>Հարկային ծառայության քննիչներ</t>
  </si>
  <si>
    <t>Ազգային ժողովի ընտրած Բարձրագույն դատական խորհրդի անդամի պաշտոնում պաշտոնավարած անձինք</t>
  </si>
  <si>
    <t>Առնվազն մեկ սահմանադրական ժամկետ Ազգային ժողովի ընտրած Բարձրագույն դատական խորհրդի անդամի պաշտոնում պաշտոնավարած անձինք</t>
  </si>
  <si>
    <t>Առնվազն մեկ ժամկետ Հայաստանի Հանրապետության մասնակցությամբ գործող միջազգային դատարանի դատավորի պաշտոնում պաշտոնավարած անձինք</t>
  </si>
  <si>
    <t>Առնվազն մեկ սահմանադրական ժամկետ Հայաստանի Հանրապետության վերահսկիչ պալատի նախագահի պաշտոնն զբաղեցրած կամ վեց տարի Ազգային ժողովի վերահսկիչ պալատի նախագահի պաշտոնն զբաղեցրած անձինք</t>
  </si>
  <si>
    <r>
      <t xml:space="preserve">«Պաշտոնատար անձանց գործունեության ապահովման, սպասարկման և սոցիալական երաշխիքների մասին» ՀՀ օրենքի հավելված N 1-ով սահմանված պաշտոններում, օտարերկրյա պետությունում գործող </t>
    </r>
    <r>
      <rPr>
        <u/>
        <sz val="8"/>
        <rFont val="GHEA Grapalat"/>
        <family val="3"/>
      </rPr>
      <t xml:space="preserve">դիվանագիտական </t>
    </r>
    <r>
      <rPr>
        <sz val="8"/>
        <rFont val="GHEA Grapalat"/>
        <family val="3"/>
      </rPr>
      <t>ծառայության մարմինների ղեկավարի պաշտոնում պաշտոնավարած անձինք</t>
    </r>
  </si>
  <si>
    <t>Հանրապետության նախագահը, Ազգային ժողովի պատգամավորները, Կառավարության անդամները, Սահմանադրական դատարանի և այլ դատարանների դատավորները, Ազգային ժողովի ընտրած Բարձրագույն դատական խորհրդի անդամները, Մարդու իրավունքների պաշտպանը, Հաշվեքննիչ պալատի նախագահը, դատախազները, հատուկ քննչական ծառայության, քննչական կոմիտեի ծառայողները՝ իրենց պաշտոնեական պարտականությունները կատարելիս կամ դրանք կատարելու առնչությամբ ստացած վնասվածքի կամ խեղման պատճառով աշխատանքային գործունեությամբ զբաղվելու կարողության 3-րդ աստիճանի սահմանափակում ունեցող հաշմանդամ ճանաչվելու դեպքում</t>
  </si>
  <si>
    <t>«Պաշտոնատար անձանց գործունեության ապահովման, սպասարկման և սոցիալական երաշխիքների մասին» ՀՀ օրենքի 3-րդ հոդվածի 1 կետի 3-րդ ենթակետի համաձայն</t>
  </si>
  <si>
    <t>Ընդամենը կենսաթոշակ (առանց նախորդող մեկ տարվա ժամանակահատվածում չստացողների)</t>
  </si>
  <si>
    <t>նախորդող մեկ տարվա ժամանակահատվածում չստացողներ</t>
  </si>
  <si>
    <t>Ընդամենը կենսաթոշակ (ներառյալ նախորդող մեկ տարվա ժամանակահատվածում չստացողների)</t>
  </si>
  <si>
    <t>փաստացի</t>
  </si>
  <si>
    <t>պլան</t>
  </si>
  <si>
    <t>2019 թվականի փաստացի բյուջեում միջին կենսաթոշակի չափը ստացվել է   կենսաթոշակառուների միջին (01.06.2019թ. դրությամբ իրավունք ձեռք բերած) թվաքանակի և փաստացի տարեկան ծախսի հարբերակացությամբ:</t>
  </si>
  <si>
    <t>Աշխատանքային կենսաթոշակառուների թիվ</t>
  </si>
  <si>
    <t>ստաժի մեկ տարվա արժեք</t>
  </si>
  <si>
    <t xml:space="preserve"> շարքային կազմի զինծառայողի հաշմանդամության I խումբ</t>
  </si>
  <si>
    <t xml:space="preserve"> շարքային կազմի զինծառայողի հաշմանդամության II խումբ</t>
  </si>
  <si>
    <t xml:space="preserve"> շարքային կազմի զինծառայողի հաշմանդամության III խումբ</t>
  </si>
  <si>
    <t>շարքային կազմի մահացած զինծառայողի միակողմանի ծնողազուրկ երեխա</t>
  </si>
  <si>
    <t>շարքային կազմի մահացած զինծառայողի երկկողմանի ծնողազուրկ երեխա</t>
  </si>
  <si>
    <t>շարքային կազմի մահացած զինծառայողի ընտանիքի այլ  անդամ</t>
  </si>
  <si>
    <t>2021թ. Հաստատված պետական բյուջե</t>
  </si>
  <si>
    <t>Ընդամենը զինվորական կենսաթոշակ (առանց նախորդող մեկ տարվա ժամանակահատվածում չստացողների)</t>
  </si>
  <si>
    <t>Ընդամենը զինվորական կենսաթոշակ (ներառյալ նախորդող մեկ տարվա ժամանակահատվածում չստացողների)</t>
  </si>
  <si>
    <t>Կ=Հ X 5+ (10 X Ա+(Ս-10) X Ա1) X Գ /2</t>
  </si>
  <si>
    <t>Կ=Հ X 5 + (Ս X Ա) X Գ /2</t>
  </si>
  <si>
    <t>Հաշմանդամության նվազագույն կենսաթոշակներ</t>
  </si>
  <si>
    <t>Շարքային զինծառայողների և նրանց ընտանիքների անդամների զինվորական կենսաթոշակներ</t>
  </si>
  <si>
    <t>Ծախսերի ցուցանիշները</t>
  </si>
  <si>
    <t>2021թ. Հաստատված բյուջե</t>
  </si>
  <si>
    <t>01.07.2021թ. դրությամբ իրավունք ձեռքբերած</t>
  </si>
  <si>
    <t>10</t>
  </si>
  <si>
    <t>11</t>
  </si>
  <si>
    <t>12</t>
  </si>
  <si>
    <t>13</t>
  </si>
  <si>
    <t>14</t>
  </si>
  <si>
    <t>15</t>
  </si>
  <si>
    <t xml:space="preserve"> Շարքային զինծառայողների և նրանց ընտանիքների անդամների կենսաթոշակներ, այդ թվում</t>
  </si>
  <si>
    <t>շահառուների թիվը 2021</t>
  </si>
  <si>
    <t>շահառուների թիվը 2022</t>
  </si>
  <si>
    <t>Միջին &lt;10</t>
  </si>
  <si>
    <t>Միջին &lt;20</t>
  </si>
  <si>
    <t>Միջին &lt;30</t>
  </si>
  <si>
    <t>Միջին &lt;40</t>
  </si>
  <si>
    <t>Միջին 21-30</t>
  </si>
  <si>
    <t>Միջին 31-40</t>
  </si>
  <si>
    <t>Միջին 41+</t>
  </si>
  <si>
    <t>Միջին 11-20</t>
  </si>
  <si>
    <t>Կենսաթոշակ</t>
  </si>
  <si>
    <t>2023 new</t>
  </si>
  <si>
    <t>Միջին/Ընդ.</t>
  </si>
  <si>
    <t>Diff. 22/23</t>
  </si>
  <si>
    <t>Diff. 22/23 new</t>
  </si>
  <si>
    <t>Գործակից</t>
  </si>
  <si>
    <t>Հաշմադամության աշխատանքային կենսաթոշակ 2-րդ խմբով</t>
  </si>
  <si>
    <t>Հաշմադամության աշխատանքային կենսաթոշակ 3-րդ խմբով</t>
  </si>
  <si>
    <t>Ծախս</t>
  </si>
  <si>
    <t>01.06.2022թ․ դրությամբ</t>
  </si>
  <si>
    <t>2023 հայտ</t>
  </si>
  <si>
    <t>2023 new+</t>
  </si>
  <si>
    <t>2026+</t>
  </si>
  <si>
    <t>Միջին &lt;75</t>
  </si>
  <si>
    <t>Միջին 75 +</t>
  </si>
  <si>
    <t>շահառուների թիվը հայտ</t>
  </si>
  <si>
    <t>կերակրողը կորցնելու դեպքում նպաստ /միակողմանի ծնողազուրկ երեխա/</t>
  </si>
  <si>
    <t>թվաքանակի աճ</t>
  </si>
  <si>
    <t>հայտ</t>
  </si>
  <si>
    <t>2023 ըստ սեպտեմբերի</t>
  </si>
  <si>
    <t>առանց 950-ի</t>
  </si>
  <si>
    <t>1-ին կիս</t>
  </si>
  <si>
    <t>2-րդ կիս</t>
  </si>
  <si>
    <t>միջին աշխատանքային կենսաթոշակ, դրամ</t>
  </si>
  <si>
    <t>աճը տոկոսով</t>
  </si>
  <si>
    <t>հատկացվող գումար, մլրդ դրամ</t>
  </si>
  <si>
    <t>2. Զինվորական կենսաթոշակներ</t>
  </si>
  <si>
    <t>Պարտադիր ժամկետային զինվորական ծառայության շարքային կազմի մահացած (զոհված) զինծառայողի ընտանիքի անդամի կերակրողին կորցնելու դեպքում զինվորական կենսաթոշակի չափը, այդ թվում՝</t>
  </si>
  <si>
    <t>միջին զինվորական կենսաթոշակ, դրամ</t>
  </si>
  <si>
    <t>3. Սոցերաշխիքներով սահմանված կենսաթոշակ</t>
  </si>
  <si>
    <t>միջին կենսաթոշակ, դրամ</t>
  </si>
  <si>
    <t>4. Սոցիալական նպաստներ</t>
  </si>
  <si>
    <t>ըստ սեպտեմբերի</t>
  </si>
  <si>
    <t>տարբերություն հայտից</t>
  </si>
  <si>
    <t>1-ին կիսամյակ</t>
  </si>
  <si>
    <t>2-րդ կիսմայակ</t>
  </si>
  <si>
    <t>տարի</t>
  </si>
  <si>
    <t xml:space="preserve">Շարքային զինծառայողների և նրանց ընտանիքների անդամների զինվորական կենսաթոշակներ </t>
  </si>
  <si>
    <t>5. Սոցիալական նպաստներ</t>
  </si>
  <si>
    <t>2023 
1-ին կիս</t>
  </si>
  <si>
    <t>2023 
2-րդ կիս</t>
  </si>
  <si>
    <t>2024 
1-ին կիս</t>
  </si>
  <si>
    <t>2024 
2-րդ կիս</t>
  </si>
  <si>
    <t>2025 
1-ին կիս</t>
  </si>
  <si>
    <t>2025 
2-րդ կիս</t>
  </si>
  <si>
    <t xml:space="preserve">3.Շարքային զինծառայողների և նրանց ընտանիքների անդամների զինվորական կենսաթոշակներ </t>
  </si>
  <si>
    <t>Թիրախային ցուցանիշներ, դրամ</t>
  </si>
  <si>
    <t>միջին աշխատանքային կենսաթոշակ</t>
  </si>
  <si>
    <t>Աշխատանքային կենսաթոշակներ</t>
  </si>
  <si>
    <t>Զինվորական կենսաթոշակներ</t>
  </si>
  <si>
    <t>Սոցերաշխիքներով սահմանված կենսաթոշակ</t>
  </si>
  <si>
    <t>Սոցիալական նպաստներ</t>
  </si>
  <si>
    <t>միջին  կենսաթոշակ, դրամ</t>
  </si>
  <si>
    <t>կերակրողը կորցնելու դեպքում /միակողմանի ծնողազուրկ երեխա, այլ անդամ/</t>
  </si>
  <si>
    <t>կերակրողը կորցնելու դեպքում  /երկկողմանի ծնողազուրկ երեխա/</t>
  </si>
  <si>
    <t>կերակրողը կորցնելու դեպքում  /երկկողմանի ծնողազուրկ երեխա/, նվազագույն</t>
  </si>
  <si>
    <t>Ընդամենը ծախսեր, ըստ կիսամյակների</t>
  </si>
  <si>
    <t>Ընդամենը ծախսեր, տարեկան</t>
  </si>
  <si>
    <t>կերակրողը կորցնելու դեպքում  /երկկողմանի ծնողազուրկ երեխա/, գործակից հիմնականի նկատմամբ</t>
  </si>
  <si>
    <t>2023թ․, 1-ին կիս</t>
  </si>
  <si>
    <t>2023, 2-րդ կիս</t>
  </si>
  <si>
    <t>2024թ․, 1-ին կիս</t>
  </si>
  <si>
    <t>2025թ․, 1-ին կիս</t>
  </si>
  <si>
    <t>2024, 2-րդ կիս</t>
  </si>
  <si>
    <t>2025, 2-րդ կիս</t>
  </si>
  <si>
    <t>ամիսների թիվը</t>
  </si>
  <si>
    <t>գումարը /հազ.դրամ/ 1</t>
  </si>
  <si>
    <t>գումարը /հազ.դրամ/ 2</t>
  </si>
  <si>
    <t>կենսաթոշակի միջին չափը /դրամ/ 1</t>
  </si>
  <si>
    <t>կենսաթոշակի միջին չափը /դրամ/ 2</t>
  </si>
  <si>
    <t xml:space="preserve">ՊԶ </t>
  </si>
  <si>
    <t>ՆՍԶ</t>
  </si>
  <si>
    <t>ՍԳԻ</t>
  </si>
  <si>
    <t>Մակրոտնտեսական ցուցանիշներ, դրամ</t>
  </si>
  <si>
    <t>կերակրողին կորցնելու դեպքում աշխատանքային կենսաթոշակ</t>
  </si>
  <si>
    <t>կերակրողին կորցնելու դեպքում աշխատանքային կենսաթոշակ /երկկողմանի/</t>
  </si>
  <si>
    <t>2021 
4-րդ եռամս</t>
  </si>
  <si>
    <t>Հիմնական ցուցանիշներ, ՀԲ</t>
  </si>
  <si>
    <t>նվազագույն կենսաթոշակ/ՊԶ</t>
  </si>
  <si>
    <t>միջին աշխատանքային կենսաթոշակ/ՆՍԶ</t>
  </si>
  <si>
    <t>Պարենային զամբյուղ</t>
  </si>
  <si>
    <t>Rounded</t>
  </si>
  <si>
    <t>Ստաժի դրույքի ավելացում</t>
  </si>
  <si>
    <t>Բազային դրույքի ավելացում</t>
  </si>
  <si>
    <t>Հիմնական ցուցանիշներ, Առողջնախ</t>
  </si>
  <si>
    <t>կանխատեսում</t>
  </si>
  <si>
    <t>3. Սոցիալական նպաստներ</t>
  </si>
  <si>
    <t>Ծրագրային ցուցանիշներ</t>
  </si>
  <si>
    <t>աշխ/զին</t>
  </si>
  <si>
    <t>շահառուների 01.01.2023</t>
  </si>
  <si>
    <t>կիսամյակային աճեր</t>
  </si>
  <si>
    <t>2023 2-րդ կիս</t>
  </si>
  <si>
    <t>2024 2-րդ կիս</t>
  </si>
  <si>
    <t>2025 2-րդ կիս</t>
  </si>
  <si>
    <t>զ</t>
  </si>
  <si>
    <t>շահառուների թվի աճ 01.01.2023-ի նկատմամբ</t>
  </si>
  <si>
    <t>հունվար-օգոստոս գումարը /հազ.դրամ/</t>
  </si>
  <si>
    <t>սեպտեմբեր-դեկտեմբեր գումարը /հազ.դրամ/</t>
  </si>
  <si>
    <t>01.01.2023թ. դրությամբ իրավունք ձեռքբերած</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</si>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</sst>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1">
    <numFmt numFmtId="43" formatCode="_(* #,##0.00_);_(* \(#,##0.00\);_(* &quot;-&quot;??_);_(@_)"/>
    <numFmt numFmtId="164" formatCode="_-* #,##0.00_-;\-* #,##0.00_-;_-* &quot;-&quot;??_-;_-@_-"/>
    <numFmt numFmtId="165" formatCode="0.0"/>
    <numFmt numFmtId="166" formatCode="_-* #,##0.0_-;\-* #,##0.0_-;_-* &quot;-&quot;??_-;_-@_-"/>
    <numFmt numFmtId="167" formatCode="_-* #,##0_-;\-* #,##0_-;_-* &quot;-&quot;??_-;_-@_-"/>
    <numFmt numFmtId="168" formatCode="0.0%"/>
    <numFmt numFmtId="169" formatCode="_(* #,##0.0_);_(* \(#,##0.0\);_(* &quot;-&quot;??_);_(@_)"/>
    <numFmt numFmtId="170" formatCode="_(* #,##0_);_(* \(#,##0\);_(* &quot;-&quot;??_);_(@_)"/>
    <numFmt numFmtId="171" formatCode="#,##0.0;[Red]#,##0.0"/>
    <numFmt numFmtId="172" formatCode="0_);\(0\)"/>
    <numFmt numFmtId="173" formatCode="0;[Red]0"/>
    <numFmt numFmtId="174" formatCode="#,##0.00;[Red]#,##0.00"/>
    <numFmt numFmtId="175" formatCode="#,##0.0"/>
    <numFmt numFmtId="176" formatCode="#,##0.0000;[Red]#,##0.0000"/>
    <numFmt numFmtId="177" formatCode="#,##0;[Red]#,##0"/>
    <numFmt numFmtId="178" formatCode="_(* #,##0.000_);_(* \(#,##0.000\);_(* &quot;-&quot;??_);_(@_)"/>
    <numFmt numFmtId="179" formatCode="_-* #,##0.000_-;\-* #,##0.000_-;_-* &quot;-&quot;??_-;_-@_-"/>
    <numFmt numFmtId="180" formatCode="#,##0.000"/>
    <numFmt numFmtId="181" formatCode="_(* #,##0.0000_);_(* \(#,##0.0000\);_(* &quot;-&quot;??_);_(@_)"/>
    <numFmt numFmtId="182" formatCode="_-* #,##0.0000_-;\-* #,##0.0000_-;_-* &quot;-&quot;??_-;_-@_-"/>
    <numFmt numFmtId="183" formatCode="_(* #,##0.0_);_(* \(#,##0.0\);_(* &quot;-&quot;?_);_(@_)"/>
  </numFmts>
  <fonts count="41">
    <font>
      <sz val="11"/>
      <color theme="1"/>
      <name val="Calibri"/>
      <family val="2"/>
      <scheme val="minor"/>
    </font>
    <font>
      <sz val="10"/>
      <color indexed="8"/>
      <name val="Arial"/>
      <family val="2"/>
    </font>
    <font>
      <sz val="10"/>
      <color indexed="8"/>
      <name val="GHEA Grapalat"/>
      <family val="3"/>
    </font>
    <font>
      <sz val="10"/>
      <color indexed="8"/>
      <name val="Arial"/>
      <family val="2"/>
    </font>
    <font>
      <sz val="10"/>
      <name val="GHEA Grapalat"/>
      <family val="3"/>
    </font>
    <font>
      <b/>
      <sz val="9"/>
      <color indexed="81"/>
      <name val="Tahoma"/>
      <family val="2"/>
    </font>
    <font>
      <sz val="9"/>
      <color indexed="81"/>
      <name val="Tahoma"/>
      <family val="2"/>
    </font>
    <font>
      <b/>
      <sz val="10"/>
      <color indexed="8"/>
      <name val="GHEA Grapalat"/>
      <family val="3"/>
    </font>
    <font>
      <sz val="11"/>
      <color indexed="8"/>
      <name val="GHEA Grapalat"/>
      <family val="3"/>
    </font>
    <font>
      <sz val="12"/>
      <color indexed="8"/>
      <name val="GHEA Grapalat"/>
      <family val="3"/>
    </font>
    <font>
      <sz val="12"/>
      <name val="GHEA Grapalat"/>
      <family val="3"/>
    </font>
    <font>
      <sz val="12"/>
      <color indexed="8"/>
      <name val="GHEA Grapalat"/>
      <family val="3"/>
    </font>
    <font>
      <b/>
      <sz val="12"/>
      <color indexed="8"/>
      <name val="GHEA Grapalat"/>
      <family val="3"/>
    </font>
    <font>
      <sz val="10"/>
      <name val="Arial Armenian"/>
      <family val="2"/>
    </font>
    <font>
      <sz val="8"/>
      <color indexed="8"/>
      <name val="GHEA Grapalat"/>
      <family val="3"/>
    </font>
    <font>
      <b/>
      <sz val="8"/>
      <color indexed="8"/>
      <name val="GHEA Grapalat"/>
      <family val="3"/>
    </font>
    <font>
      <i/>
      <sz val="10"/>
      <color indexed="8"/>
      <name val="GHEA Grapalat"/>
      <family val="3"/>
    </font>
    <font>
      <sz val="11"/>
      <name val="GHEA Grapalat"/>
      <family val="3"/>
    </font>
    <font>
      <sz val="8"/>
      <name val="GHEA Grapalat"/>
      <family val="3"/>
    </font>
    <font>
      <b/>
      <sz val="8"/>
      <name val="GHEA Grapalat"/>
      <family val="3"/>
    </font>
    <font>
      <i/>
      <sz val="10"/>
      <name val="GHEA Grapalat"/>
      <family val="3"/>
    </font>
    <font>
      <b/>
      <sz val="10"/>
      <name val="GHEA Grapalat"/>
      <family val="3"/>
    </font>
    <font>
      <sz val="9"/>
      <color indexed="8"/>
      <name val="GHEA Grapalat"/>
      <family val="3"/>
    </font>
    <font>
      <sz val="10"/>
      <color indexed="12"/>
      <name val="GHEA Grapalat"/>
      <family val="3"/>
    </font>
    <font>
      <u/>
      <sz val="8"/>
      <name val="GHEA Grapalat"/>
      <family val="3"/>
    </font>
    <font>
      <b/>
      <i/>
      <sz val="10"/>
      <color indexed="8"/>
      <name val="GHEA Grapalat"/>
      <family val="3"/>
    </font>
    <font>
      <sz val="10"/>
      <name val="Arial"/>
      <family val="2"/>
    </font>
    <font>
      <sz val="11"/>
      <color theme="1"/>
      <name val="Calibri"/>
      <family val="2"/>
      <scheme val="minor"/>
    </font>
    <font>
      <sz val="10"/>
      <color theme="1"/>
      <name val="GHEA Grapalat"/>
      <family val="3"/>
    </font>
    <font>
      <sz val="11"/>
      <color theme="1"/>
      <name val="GHEA Grapalat"/>
      <family val="3"/>
    </font>
    <font>
      <sz val="12"/>
      <color theme="1"/>
      <name val="GHEA Grapalat"/>
      <family val="3"/>
    </font>
    <font>
      <sz val="12"/>
      <color rgb="FF000000"/>
      <name val="GHEA Grapalat"/>
      <family val="3"/>
    </font>
    <font>
      <b/>
      <sz val="12"/>
      <color theme="1"/>
      <name val="GHEA Grapalat"/>
      <family val="3"/>
    </font>
    <font>
      <sz val="10"/>
      <color rgb="FFFF0000"/>
      <name val="GHEA Grapalat"/>
      <family val="3"/>
    </font>
    <font>
      <b/>
      <sz val="10"/>
      <color theme="1"/>
      <name val="GHEA Grapalat"/>
      <family val="3"/>
    </font>
    <font>
      <sz val="11"/>
      <color indexed="8"/>
      <name val="Calibri"/>
      <family val="2"/>
    </font>
    <font>
      <sz val="12"/>
      <color rgb="FF555555"/>
      <name val="Arian AMU"/>
    </font>
    <font>
      <b/>
      <sz val="12"/>
      <name val="GHEA Grapalat"/>
      <family val="3"/>
    </font>
    <font>
      <b/>
      <i/>
      <sz val="10"/>
      <name val="GHEA Grapalat"/>
      <family val="3"/>
    </font>
    <font>
      <b/>
      <sz val="11"/>
      <color indexed="8"/>
      <name val="GHEA Grapalat"/>
      <family val="3"/>
    </font>
    <font>
      <b/>
      <sz val="11"/>
      <name val="GHEA Grapalat"/>
      <family val="3"/>
    </font>
  </fonts>
  <fills count="22">
    <fill>
      <patternFill patternType="none"/>
    </fill>
    <fill>
      <patternFill patternType="gray125"/>
    </fill>
    <fill>
      <patternFill patternType="solid">
        <fgColor indexed="22"/>
        <bgColor indexed="0"/>
      </patternFill>
    </fill>
    <fill>
      <patternFill patternType="solid">
        <fgColor indexed="42"/>
        <bgColor indexed="64"/>
      </patternFill>
    </fill>
    <fill>
      <patternFill patternType="solid">
        <fgColor indexed="9"/>
        <bgColor indexed="64"/>
      </patternFill>
    </fill>
    <fill>
      <patternFill patternType="solid">
        <fgColor indexed="11"/>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3" tint="0.79998168889431442"/>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rgb="FFFFFF00"/>
        <bgColor indexed="64"/>
      </patternFill>
    </fill>
    <fill>
      <patternFill patternType="solid">
        <fgColor theme="0"/>
        <bgColor indexed="64"/>
      </patternFill>
    </fill>
    <fill>
      <patternFill patternType="solid">
        <fgColor theme="5" tint="0.39997558519241921"/>
        <bgColor indexed="64"/>
      </patternFill>
    </fill>
    <fill>
      <patternFill patternType="solid">
        <fgColor theme="8" tint="0.59999389629810485"/>
        <bgColor indexed="64"/>
      </patternFill>
    </fill>
    <fill>
      <patternFill patternType="solid">
        <fgColor theme="8" tint="0.39997558519241921"/>
        <bgColor indexed="64"/>
      </patternFill>
    </fill>
    <fill>
      <patternFill patternType="solid">
        <fgColor theme="5" tint="0.59999389629810485"/>
        <bgColor indexed="64"/>
      </patternFill>
    </fill>
    <fill>
      <patternFill patternType="solid">
        <fgColor theme="4" tint="0.59999389629810485"/>
        <bgColor indexed="64"/>
      </patternFill>
    </fill>
    <fill>
      <patternFill patternType="solid">
        <fgColor theme="7" tint="0.79998168889431442"/>
        <bgColor indexed="64"/>
      </patternFill>
    </fill>
    <fill>
      <patternFill patternType="solid">
        <fgColor rgb="FF92D050"/>
        <bgColor indexed="64"/>
      </patternFill>
    </fill>
    <fill>
      <patternFill patternType="solid">
        <fgColor theme="4" tint="0.7999816888943144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13">
    <xf numFmtId="0" fontId="0" fillId="0" borderId="0"/>
    <xf numFmtId="164" fontId="27" fillId="0" borderId="0" applyFont="0" applyFill="0" applyBorder="0" applyAlignment="0" applyProtection="0"/>
    <xf numFmtId="43" fontId="13" fillId="0" borderId="0" applyFont="0" applyFill="0" applyBorder="0" applyAlignment="0" applyProtection="0"/>
    <xf numFmtId="43" fontId="27" fillId="0" borderId="0" applyFont="0" applyFill="0" applyBorder="0" applyAlignment="0" applyProtection="0"/>
    <xf numFmtId="43" fontId="26" fillId="0" borderId="0" applyFont="0" applyFill="0" applyBorder="0" applyAlignment="0" applyProtection="0"/>
    <xf numFmtId="0" fontId="13" fillId="0" borderId="0"/>
    <xf numFmtId="0" fontId="26" fillId="0" borderId="0"/>
    <xf numFmtId="0" fontId="1" fillId="0" borderId="0"/>
    <xf numFmtId="0" fontId="1" fillId="0" borderId="0"/>
    <xf numFmtId="0" fontId="3" fillId="0" borderId="0"/>
    <xf numFmtId="9" fontId="27" fillId="0" borderId="0" applyFont="0" applyFill="0" applyBorder="0" applyAlignment="0" applyProtection="0"/>
    <xf numFmtId="0" fontId="26" fillId="0" borderId="0"/>
    <xf numFmtId="43" fontId="35" fillId="0" borderId="0" applyFont="0" applyFill="0" applyBorder="0" applyAlignment="0" applyProtection="0"/>
  </cellStyleXfs>
  <cellXfs count="647">
    <xf numFmtId="0" fontId="0" fillId="0" borderId="0" xfId="0"/>
    <xf numFmtId="0" fontId="2" fillId="0" borderId="1" xfId="9" applyFont="1" applyBorder="1" applyAlignment="1">
      <alignment horizontal="right" wrapText="1"/>
    </xf>
    <xf numFmtId="0" fontId="28" fillId="6" borderId="1" xfId="0" applyFont="1" applyFill="1" applyBorder="1"/>
    <xf numFmtId="0" fontId="28" fillId="0" borderId="0" xfId="0" applyFont="1" applyAlignment="1">
      <alignment horizontal="right"/>
    </xf>
    <xf numFmtId="0" fontId="2" fillId="2" borderId="2" xfId="8" applyFont="1" applyFill="1" applyBorder="1" applyAlignment="1">
      <alignment horizontal="center" vertical="center" wrapText="1"/>
    </xf>
    <xf numFmtId="0" fontId="0" fillId="0" borderId="0" xfId="0" applyAlignment="1">
      <alignment vertical="center"/>
    </xf>
    <xf numFmtId="0" fontId="0" fillId="0" borderId="1" xfId="0" applyBorder="1"/>
    <xf numFmtId="0" fontId="2" fillId="2" borderId="1" xfId="8" applyFont="1" applyFill="1" applyBorder="1" applyAlignment="1">
      <alignment horizontal="center" vertical="center" wrapText="1"/>
    </xf>
    <xf numFmtId="1" fontId="0" fillId="0" borderId="0" xfId="0" applyNumberFormat="1"/>
    <xf numFmtId="1" fontId="2" fillId="0" borderId="1" xfId="9" applyNumberFormat="1" applyFont="1" applyBorder="1" applyAlignment="1">
      <alignment horizontal="right" wrapText="1"/>
    </xf>
    <xf numFmtId="1" fontId="28" fillId="6" borderId="1" xfId="0" applyNumberFormat="1" applyFont="1" applyFill="1" applyBorder="1"/>
    <xf numFmtId="0" fontId="2" fillId="2" borderId="3" xfId="8" applyFont="1" applyFill="1" applyBorder="1" applyAlignment="1">
      <alignment horizontal="center" vertical="center" wrapText="1"/>
    </xf>
    <xf numFmtId="0" fontId="2" fillId="7" borderId="1" xfId="9" applyFont="1" applyFill="1" applyBorder="1" applyAlignment="1">
      <alignment horizontal="right" wrapText="1"/>
    </xf>
    <xf numFmtId="0" fontId="2" fillId="0" borderId="0" xfId="7" applyFont="1" applyAlignment="1">
      <alignment vertical="center"/>
    </xf>
    <xf numFmtId="0" fontId="2" fillId="8" borderId="1" xfId="7" applyFont="1" applyFill="1" applyBorder="1" applyAlignment="1">
      <alignment horizontal="center"/>
    </xf>
    <xf numFmtId="0" fontId="2" fillId="8" borderId="4" xfId="7" applyFont="1" applyFill="1" applyBorder="1" applyAlignment="1">
      <alignment horizontal="center"/>
    </xf>
    <xf numFmtId="0" fontId="2" fillId="0" borderId="1" xfId="7" applyFont="1" applyBorder="1"/>
    <xf numFmtId="0" fontId="7" fillId="7" borderId="1" xfId="7" applyFont="1" applyFill="1" applyBorder="1" applyAlignment="1">
      <alignment horizontal="center"/>
    </xf>
    <xf numFmtId="0" fontId="2" fillId="0" borderId="1" xfId="7" applyFont="1" applyBorder="1" applyAlignment="1">
      <alignment horizontal="center" vertical="center"/>
    </xf>
    <xf numFmtId="0" fontId="0" fillId="0" borderId="4" xfId="0" applyBorder="1"/>
    <xf numFmtId="0" fontId="2" fillId="2" borderId="5" xfId="8" applyFont="1" applyFill="1" applyBorder="1" applyAlignment="1">
      <alignment horizontal="center" vertical="center" wrapText="1"/>
    </xf>
    <xf numFmtId="1" fontId="28" fillId="6" borderId="3" xfId="0" applyNumberFormat="1" applyFont="1" applyFill="1" applyBorder="1"/>
    <xf numFmtId="0" fontId="29" fillId="0" borderId="0" xfId="0" applyFont="1" applyAlignment="1">
      <alignment vertical="center"/>
    </xf>
    <xf numFmtId="0" fontId="30" fillId="0" borderId="0" xfId="0" applyFont="1"/>
    <xf numFmtId="1" fontId="30" fillId="0" borderId="0" xfId="0" applyNumberFormat="1" applyFont="1"/>
    <xf numFmtId="0" fontId="31" fillId="0" borderId="0" xfId="0" applyFont="1"/>
    <xf numFmtId="0" fontId="30" fillId="0" borderId="1" xfId="0" applyFont="1" applyBorder="1"/>
    <xf numFmtId="0" fontId="11" fillId="2" borderId="2" xfId="8" applyFont="1" applyFill="1" applyBorder="1" applyAlignment="1">
      <alignment horizontal="center" vertical="center" wrapText="1"/>
    </xf>
    <xf numFmtId="0" fontId="30" fillId="0" borderId="0" xfId="0" applyFont="1" applyAlignment="1">
      <alignment vertical="center"/>
    </xf>
    <xf numFmtId="0" fontId="11" fillId="0" borderId="1" xfId="9" applyFont="1" applyBorder="1" applyAlignment="1">
      <alignment horizontal="right" wrapText="1"/>
    </xf>
    <xf numFmtId="1" fontId="11" fillId="0" borderId="1" xfId="9" applyNumberFormat="1" applyFont="1" applyBorder="1" applyAlignment="1">
      <alignment horizontal="right" wrapText="1"/>
    </xf>
    <xf numFmtId="0" fontId="30" fillId="6" borderId="1" xfId="0" applyFont="1" applyFill="1" applyBorder="1"/>
    <xf numFmtId="0" fontId="30" fillId="0" borderId="4" xfId="0" applyFont="1" applyBorder="1"/>
    <xf numFmtId="166" fontId="11" fillId="0" borderId="1" xfId="1" applyNumberFormat="1" applyFont="1" applyFill="1" applyBorder="1" applyAlignment="1">
      <alignment horizontal="right" wrapText="1"/>
    </xf>
    <xf numFmtId="167" fontId="11" fillId="0" borderId="1" xfId="1" applyNumberFormat="1" applyFont="1" applyFill="1" applyBorder="1" applyAlignment="1">
      <alignment horizontal="right" wrapText="1"/>
    </xf>
    <xf numFmtId="167" fontId="30" fillId="0" borderId="0" xfId="1" applyNumberFormat="1" applyFont="1"/>
    <xf numFmtId="167" fontId="30" fillId="6" borderId="1" xfId="1" applyNumberFormat="1" applyFont="1" applyFill="1" applyBorder="1"/>
    <xf numFmtId="167" fontId="30" fillId="0" borderId="0" xfId="0" applyNumberFormat="1" applyFont="1"/>
    <xf numFmtId="43" fontId="30" fillId="0" borderId="0" xfId="0" applyNumberFormat="1" applyFont="1"/>
    <xf numFmtId="170" fontId="30" fillId="6" borderId="1" xfId="1" applyNumberFormat="1" applyFont="1" applyFill="1" applyBorder="1"/>
    <xf numFmtId="170" fontId="11" fillId="0" borderId="1" xfId="1" applyNumberFormat="1" applyFont="1" applyFill="1" applyBorder="1" applyAlignment="1">
      <alignment horizontal="right" wrapText="1"/>
    </xf>
    <xf numFmtId="167" fontId="30" fillId="0" borderId="1" xfId="1" applyNumberFormat="1" applyFont="1" applyBorder="1"/>
    <xf numFmtId="0" fontId="30" fillId="0" borderId="1" xfId="0" applyFont="1" applyBorder="1" applyAlignment="1">
      <alignment vertical="center"/>
    </xf>
    <xf numFmtId="167" fontId="30" fillId="0" borderId="1" xfId="1" applyNumberFormat="1" applyFont="1" applyBorder="1" applyAlignment="1">
      <alignment vertical="center"/>
    </xf>
    <xf numFmtId="0" fontId="29" fillId="0" borderId="6" xfId="0" applyFont="1" applyBorder="1" applyAlignment="1">
      <alignment horizontal="left" vertical="center" wrapText="1" indent="2"/>
    </xf>
    <xf numFmtId="0" fontId="29" fillId="0" borderId="6" xfId="0" applyFont="1" applyBorder="1" applyAlignment="1">
      <alignment horizontal="left" vertical="center" indent="2"/>
    </xf>
    <xf numFmtId="164" fontId="11" fillId="0" borderId="1" xfId="9" applyNumberFormat="1" applyFont="1" applyBorder="1" applyAlignment="1">
      <alignment horizontal="right" wrapText="1"/>
    </xf>
    <xf numFmtId="167" fontId="30" fillId="0" borderId="0" xfId="1" applyNumberFormat="1" applyFont="1" applyFill="1"/>
    <xf numFmtId="167" fontId="30" fillId="0" borderId="4" xfId="1" applyNumberFormat="1" applyFont="1" applyFill="1" applyBorder="1"/>
    <xf numFmtId="0" fontId="11" fillId="0" borderId="2" xfId="8" applyFont="1" applyBorder="1" applyAlignment="1">
      <alignment horizontal="center" vertical="center" wrapText="1"/>
    </xf>
    <xf numFmtId="167" fontId="11" fillId="0" borderId="2" xfId="1" applyNumberFormat="1" applyFont="1" applyFill="1" applyBorder="1" applyAlignment="1">
      <alignment horizontal="center" vertical="center" wrapText="1"/>
    </xf>
    <xf numFmtId="165" fontId="12" fillId="0" borderId="1" xfId="0" applyNumberFormat="1" applyFont="1" applyBorder="1" applyAlignment="1">
      <alignment horizontal="left" vertical="center" wrapText="1"/>
    </xf>
    <xf numFmtId="167" fontId="30" fillId="0" borderId="0" xfId="1" applyNumberFormat="1" applyFont="1" applyFill="1" applyAlignment="1">
      <alignment vertical="center"/>
    </xf>
    <xf numFmtId="165" fontId="10" fillId="0" borderId="1" xfId="0" applyNumberFormat="1" applyFont="1" applyBorder="1" applyAlignment="1">
      <alignment horizontal="left" vertical="center" wrapText="1"/>
    </xf>
    <xf numFmtId="167" fontId="32" fillId="0" borderId="1" xfId="1" applyNumberFormat="1" applyFont="1" applyFill="1" applyBorder="1" applyAlignment="1">
      <alignment horizontal="center" vertical="center"/>
    </xf>
    <xf numFmtId="167" fontId="30" fillId="0" borderId="1" xfId="1" applyNumberFormat="1" applyFont="1" applyFill="1" applyBorder="1" applyAlignment="1">
      <alignment horizontal="center" vertical="center"/>
    </xf>
    <xf numFmtId="0" fontId="32" fillId="0" borderId="1" xfId="0" applyFont="1" applyBorder="1" applyAlignment="1">
      <alignment vertical="center"/>
    </xf>
    <xf numFmtId="0" fontId="30" fillId="0" borderId="1" xfId="0" applyFont="1" applyBorder="1" applyAlignment="1">
      <alignment vertical="center" wrapText="1"/>
    </xf>
    <xf numFmtId="0" fontId="30" fillId="9" borderId="1" xfId="0" applyFont="1" applyFill="1" applyBorder="1" applyAlignment="1">
      <alignment vertical="center"/>
    </xf>
    <xf numFmtId="0" fontId="30" fillId="9" borderId="6" xfId="0" applyFont="1" applyFill="1" applyBorder="1" applyAlignment="1">
      <alignment horizontal="left" vertical="center" indent="2"/>
    </xf>
    <xf numFmtId="0" fontId="30" fillId="11" borderId="1" xfId="0" applyFont="1" applyFill="1" applyBorder="1" applyAlignment="1">
      <alignment vertical="center"/>
    </xf>
    <xf numFmtId="0" fontId="4" fillId="0" borderId="0" xfId="0" applyFont="1"/>
    <xf numFmtId="49" fontId="14" fillId="0" borderId="1" xfId="0" applyNumberFormat="1" applyFont="1" applyBorder="1" applyAlignment="1">
      <alignment horizontal="center" vertical="center" wrapText="1"/>
    </xf>
    <xf numFmtId="0" fontId="17" fillId="0" borderId="0" xfId="0" applyFont="1"/>
    <xf numFmtId="172" fontId="4" fillId="0" borderId="1" xfId="1" applyNumberFormat="1" applyFont="1" applyFill="1" applyBorder="1" applyAlignment="1">
      <alignment vertical="center"/>
    </xf>
    <xf numFmtId="1" fontId="4" fillId="0" borderId="1" xfId="1" applyNumberFormat="1" applyFont="1" applyFill="1" applyBorder="1" applyAlignment="1">
      <alignment vertical="center"/>
    </xf>
    <xf numFmtId="171" fontId="2" fillId="0" borderId="1" xfId="1" applyNumberFormat="1" applyFont="1" applyFill="1" applyBorder="1" applyAlignment="1">
      <alignment vertical="center"/>
    </xf>
    <xf numFmtId="0" fontId="8" fillId="0" borderId="0" xfId="0" applyFont="1"/>
    <xf numFmtId="174" fontId="2" fillId="0" borderId="1" xfId="1" applyNumberFormat="1" applyFont="1" applyFill="1" applyBorder="1" applyAlignment="1">
      <alignment vertical="center"/>
    </xf>
    <xf numFmtId="171" fontId="2" fillId="0" borderId="1" xfId="1" applyNumberFormat="1" applyFont="1" applyFill="1" applyBorder="1" applyAlignment="1">
      <alignment horizontal="center" vertical="center"/>
    </xf>
    <xf numFmtId="173" fontId="2" fillId="0" borderId="1" xfId="1" applyNumberFormat="1" applyFont="1" applyFill="1" applyBorder="1" applyAlignment="1">
      <alignment horizontal="center" vertical="center" wrapText="1"/>
    </xf>
    <xf numFmtId="169" fontId="16" fillId="0" borderId="1" xfId="1" applyNumberFormat="1" applyFont="1" applyFill="1" applyBorder="1" applyAlignment="1">
      <alignment horizontal="center" vertical="center" wrapText="1"/>
    </xf>
    <xf numFmtId="171" fontId="4" fillId="0" borderId="1" xfId="1" applyNumberFormat="1" applyFont="1" applyFill="1" applyBorder="1" applyAlignment="1">
      <alignment horizontal="center" vertical="center"/>
    </xf>
    <xf numFmtId="173" fontId="4" fillId="0" borderId="1" xfId="1" applyNumberFormat="1" applyFont="1" applyFill="1" applyBorder="1" applyAlignment="1">
      <alignment horizontal="center" vertical="center" wrapText="1"/>
    </xf>
    <xf numFmtId="171" fontId="4" fillId="0" borderId="1" xfId="1" applyNumberFormat="1" applyFont="1" applyFill="1" applyBorder="1" applyAlignment="1">
      <alignment vertical="center"/>
    </xf>
    <xf numFmtId="169" fontId="20" fillId="0" borderId="1" xfId="1" applyNumberFormat="1" applyFont="1" applyFill="1" applyBorder="1" applyAlignment="1">
      <alignment horizontal="center" vertical="center" wrapText="1"/>
    </xf>
    <xf numFmtId="170" fontId="4" fillId="0" borderId="0" xfId="1" applyNumberFormat="1" applyFont="1" applyFill="1"/>
    <xf numFmtId="165" fontId="21" fillId="0" borderId="0" xfId="0" applyNumberFormat="1" applyFont="1" applyAlignment="1">
      <alignment horizontal="left" vertical="top" wrapText="1"/>
    </xf>
    <xf numFmtId="1" fontId="2" fillId="0" borderId="0" xfId="0" applyNumberFormat="1" applyFont="1"/>
    <xf numFmtId="1" fontId="4" fillId="0" borderId="0" xfId="0" applyNumberFormat="1" applyFont="1"/>
    <xf numFmtId="43" fontId="4" fillId="0" borderId="0" xfId="0" applyNumberFormat="1" applyFont="1"/>
    <xf numFmtId="0" fontId="4" fillId="0" borderId="0" xfId="0" applyFont="1" applyAlignment="1">
      <alignment vertical="top"/>
    </xf>
    <xf numFmtId="0" fontId="7" fillId="0" borderId="0" xfId="0" applyFont="1" applyAlignment="1">
      <alignment horizontal="center" vertical="top"/>
    </xf>
    <xf numFmtId="0" fontId="7" fillId="0" borderId="0" xfId="0" applyFont="1" applyAlignment="1">
      <alignment horizontal="left" vertical="top"/>
    </xf>
    <xf numFmtId="0" fontId="2" fillId="0" borderId="0" xfId="0" applyFont="1" applyAlignment="1">
      <alignment horizontal="right" vertical="top"/>
    </xf>
    <xf numFmtId="0" fontId="2" fillId="12" borderId="0" xfId="0" applyFont="1" applyFill="1" applyAlignment="1">
      <alignment horizontal="center" vertical="top"/>
    </xf>
    <xf numFmtId="0" fontId="4" fillId="0" borderId="0" xfId="0" applyFont="1" applyAlignment="1">
      <alignment horizontal="right" vertical="top"/>
    </xf>
    <xf numFmtId="0" fontId="4" fillId="12" borderId="0" xfId="0" applyFont="1" applyFill="1" applyAlignment="1">
      <alignment horizontal="center" vertical="top"/>
    </xf>
    <xf numFmtId="0" fontId="2" fillId="0" borderId="0" xfId="0" applyFont="1" applyAlignment="1">
      <alignment vertical="top"/>
    </xf>
    <xf numFmtId="49" fontId="22" fillId="13" borderId="1" xfId="0" applyNumberFormat="1" applyFont="1" applyFill="1" applyBorder="1" applyAlignment="1">
      <alignment vertical="top" wrapText="1"/>
    </xf>
    <xf numFmtId="49" fontId="22" fillId="13" borderId="1" xfId="0" applyNumberFormat="1" applyFont="1" applyFill="1" applyBorder="1" applyAlignment="1">
      <alignment horizontal="center" vertical="top" wrapText="1"/>
    </xf>
    <xf numFmtId="1" fontId="2" fillId="13" borderId="1" xfId="0" applyNumberFormat="1" applyFont="1" applyFill="1" applyBorder="1" applyAlignment="1">
      <alignment horizontal="center" vertical="top" wrapText="1"/>
    </xf>
    <xf numFmtId="0" fontId="4" fillId="0" borderId="0" xfId="0" applyFont="1" applyAlignment="1">
      <alignment horizontal="center" vertical="top"/>
    </xf>
    <xf numFmtId="1" fontId="2" fillId="13" borderId="1" xfId="0" applyNumberFormat="1" applyFont="1" applyFill="1" applyBorder="1" applyAlignment="1">
      <alignment vertical="top"/>
    </xf>
    <xf numFmtId="165" fontId="2" fillId="13" borderId="1" xfId="0" applyNumberFormat="1" applyFont="1" applyFill="1" applyBorder="1" applyAlignment="1">
      <alignment vertical="top"/>
    </xf>
    <xf numFmtId="165" fontId="4" fillId="13" borderId="1" xfId="0" applyNumberFormat="1" applyFont="1" applyFill="1" applyBorder="1"/>
    <xf numFmtId="0" fontId="4" fillId="13" borderId="1" xfId="0" applyFont="1" applyFill="1" applyBorder="1"/>
    <xf numFmtId="165" fontId="23" fillId="13" borderId="1" xfId="0" applyNumberFormat="1" applyFont="1" applyFill="1" applyBorder="1"/>
    <xf numFmtId="1" fontId="2" fillId="13" borderId="1" xfId="0" applyNumberFormat="1" applyFont="1" applyFill="1" applyBorder="1"/>
    <xf numFmtId="170" fontId="16" fillId="13" borderId="1" xfId="1" applyNumberFormat="1" applyFont="1" applyFill="1" applyBorder="1" applyAlignment="1"/>
    <xf numFmtId="171" fontId="2" fillId="13" borderId="1" xfId="1" applyNumberFormat="1" applyFont="1" applyFill="1" applyBorder="1" applyAlignment="1"/>
    <xf numFmtId="165" fontId="2" fillId="13" borderId="1" xfId="0" applyNumberFormat="1" applyFont="1" applyFill="1" applyBorder="1" applyAlignment="1">
      <alignment vertical="top" wrapText="1"/>
    </xf>
    <xf numFmtId="170" fontId="20" fillId="13" borderId="1" xfId="1" applyNumberFormat="1" applyFont="1" applyFill="1" applyBorder="1" applyAlignment="1"/>
    <xf numFmtId="171" fontId="4" fillId="13" borderId="1" xfId="1" applyNumberFormat="1" applyFont="1" applyFill="1" applyBorder="1" applyAlignment="1"/>
    <xf numFmtId="1" fontId="4" fillId="13" borderId="1" xfId="0" applyNumberFormat="1" applyFont="1" applyFill="1" applyBorder="1"/>
    <xf numFmtId="164" fontId="20" fillId="13" borderId="1" xfId="1" applyFont="1" applyFill="1" applyBorder="1" applyAlignment="1"/>
    <xf numFmtId="164" fontId="2" fillId="13" borderId="1" xfId="1" applyFont="1" applyFill="1" applyBorder="1" applyAlignment="1"/>
    <xf numFmtId="165" fontId="4" fillId="0" borderId="0" xfId="0" applyNumberFormat="1" applyFont="1" applyAlignment="1">
      <alignment vertical="top"/>
    </xf>
    <xf numFmtId="165" fontId="14" fillId="13" borderId="1" xfId="0" applyNumberFormat="1" applyFont="1" applyFill="1" applyBorder="1" applyAlignment="1">
      <alignment vertical="top" wrapText="1"/>
    </xf>
    <xf numFmtId="0" fontId="33" fillId="0" borderId="0" xfId="0" applyFont="1" applyAlignment="1">
      <alignment vertical="top"/>
    </xf>
    <xf numFmtId="165" fontId="18" fillId="13" borderId="1" xfId="0" quotePrefix="1" applyNumberFormat="1" applyFont="1" applyFill="1" applyBorder="1" applyAlignment="1">
      <alignment vertical="top" wrapText="1"/>
    </xf>
    <xf numFmtId="0" fontId="33" fillId="13" borderId="1" xfId="0" applyFont="1" applyFill="1" applyBorder="1"/>
    <xf numFmtId="165" fontId="14" fillId="13" borderId="1" xfId="0" quotePrefix="1" applyNumberFormat="1" applyFont="1" applyFill="1" applyBorder="1" applyAlignment="1">
      <alignment vertical="top" wrapText="1"/>
    </xf>
    <xf numFmtId="165" fontId="4" fillId="13" borderId="1" xfId="0" quotePrefix="1" applyNumberFormat="1" applyFont="1" applyFill="1" applyBorder="1" applyAlignment="1">
      <alignment vertical="top" wrapText="1"/>
    </xf>
    <xf numFmtId="0" fontId="21" fillId="0" borderId="0" xfId="0" applyFont="1" applyAlignment="1">
      <alignment vertical="top"/>
    </xf>
    <xf numFmtId="165" fontId="7" fillId="13" borderId="1" xfId="0" applyNumberFormat="1" applyFont="1" applyFill="1" applyBorder="1" applyAlignment="1">
      <alignment vertical="top"/>
    </xf>
    <xf numFmtId="165" fontId="7" fillId="13" borderId="1" xfId="0" applyNumberFormat="1" applyFont="1" applyFill="1" applyBorder="1" applyAlignment="1">
      <alignment vertical="top" wrapText="1"/>
    </xf>
    <xf numFmtId="1" fontId="7" fillId="13" borderId="1" xfId="0" applyNumberFormat="1" applyFont="1" applyFill="1" applyBorder="1"/>
    <xf numFmtId="0" fontId="21" fillId="13" borderId="1" xfId="0" applyFont="1" applyFill="1" applyBorder="1"/>
    <xf numFmtId="1" fontId="21" fillId="13" borderId="1" xfId="0" applyNumberFormat="1" applyFont="1" applyFill="1" applyBorder="1"/>
    <xf numFmtId="170" fontId="25" fillId="13" borderId="1" xfId="1" applyNumberFormat="1" applyFont="1" applyFill="1" applyBorder="1" applyAlignment="1"/>
    <xf numFmtId="169" fontId="7" fillId="13" borderId="1" xfId="1" applyNumberFormat="1" applyFont="1" applyFill="1" applyBorder="1" applyAlignment="1"/>
    <xf numFmtId="0" fontId="2" fillId="13" borderId="1" xfId="0" applyFont="1" applyFill="1" applyBorder="1" applyAlignment="1">
      <alignment vertical="top"/>
    </xf>
    <xf numFmtId="0" fontId="2" fillId="13" borderId="1" xfId="0" applyFont="1" applyFill="1" applyBorder="1" applyAlignment="1">
      <alignment vertical="top" wrapText="1"/>
    </xf>
    <xf numFmtId="165" fontId="2" fillId="13" borderId="1" xfId="0" applyNumberFormat="1" applyFont="1" applyFill="1" applyBorder="1"/>
    <xf numFmtId="169" fontId="2" fillId="13" borderId="1" xfId="1" applyNumberFormat="1" applyFont="1" applyFill="1" applyBorder="1" applyAlignment="1"/>
    <xf numFmtId="0" fontId="7" fillId="13" borderId="1" xfId="0" applyFont="1" applyFill="1" applyBorder="1" applyAlignment="1">
      <alignment vertical="top" wrapText="1"/>
    </xf>
    <xf numFmtId="1" fontId="16" fillId="13" borderId="1" xfId="1" applyNumberFormat="1" applyFont="1" applyFill="1" applyBorder="1" applyAlignment="1"/>
    <xf numFmtId="171" fontId="7" fillId="13" borderId="1" xfId="0" applyNumberFormat="1" applyFont="1" applyFill="1" applyBorder="1"/>
    <xf numFmtId="0" fontId="4" fillId="13" borderId="0" xfId="0" applyFont="1" applyFill="1" applyAlignment="1">
      <alignment vertical="top"/>
    </xf>
    <xf numFmtId="43" fontId="4" fillId="0" borderId="0" xfId="0" applyNumberFormat="1" applyFont="1" applyAlignment="1">
      <alignment vertical="top"/>
    </xf>
    <xf numFmtId="0" fontId="20" fillId="0" borderId="0" xfId="0" applyFont="1" applyAlignment="1">
      <alignment vertical="top" wrapText="1"/>
    </xf>
    <xf numFmtId="0" fontId="30" fillId="0" borderId="0" xfId="0" applyFont="1" applyAlignment="1">
      <alignment vertical="center" wrapText="1"/>
    </xf>
    <xf numFmtId="0" fontId="32" fillId="9" borderId="1" xfId="0" applyFont="1" applyFill="1" applyBorder="1" applyAlignment="1">
      <alignment vertical="center"/>
    </xf>
    <xf numFmtId="0" fontId="30" fillId="9" borderId="6" xfId="0" applyFont="1" applyFill="1" applyBorder="1" applyAlignment="1">
      <alignment horizontal="left" vertical="center" wrapText="1" indent="2"/>
    </xf>
    <xf numFmtId="0" fontId="30" fillId="9" borderId="6" xfId="0" applyFont="1" applyFill="1" applyBorder="1" applyAlignment="1">
      <alignment horizontal="left" vertical="center" indent="4"/>
    </xf>
    <xf numFmtId="0" fontId="32" fillId="11" borderId="1" xfId="0" applyFont="1" applyFill="1" applyBorder="1" applyAlignment="1">
      <alignment vertical="center"/>
    </xf>
    <xf numFmtId="0" fontId="30" fillId="11" borderId="6" xfId="0" applyFont="1" applyFill="1" applyBorder="1" applyAlignment="1">
      <alignment horizontal="left" vertical="center" indent="2"/>
    </xf>
    <xf numFmtId="0" fontId="30" fillId="11" borderId="6" xfId="0" applyFont="1" applyFill="1" applyBorder="1" applyAlignment="1">
      <alignment horizontal="left" vertical="center" wrapText="1" indent="2"/>
    </xf>
    <xf numFmtId="0" fontId="12" fillId="0" borderId="0" xfId="0" applyFont="1"/>
    <xf numFmtId="0" fontId="8" fillId="0" borderId="0" xfId="0" applyFont="1" applyAlignment="1">
      <alignment horizontal="right"/>
    </xf>
    <xf numFmtId="0" fontId="8" fillId="14" borderId="0" xfId="0" applyFont="1" applyFill="1"/>
    <xf numFmtId="0" fontId="8" fillId="12" borderId="0" xfId="0" applyFont="1" applyFill="1"/>
    <xf numFmtId="1" fontId="15" fillId="0" borderId="1" xfId="0" applyNumberFormat="1" applyFont="1" applyBorder="1" applyAlignment="1">
      <alignment horizontal="center" vertical="center" wrapText="1"/>
    </xf>
    <xf numFmtId="2" fontId="14" fillId="3" borderId="1" xfId="0" applyNumberFormat="1" applyFont="1" applyFill="1" applyBorder="1" applyAlignment="1">
      <alignment horizontal="center" vertical="center" wrapText="1"/>
    </xf>
    <xf numFmtId="165" fontId="7" fillId="3" borderId="1" xfId="0" applyNumberFormat="1" applyFont="1" applyFill="1" applyBorder="1" applyAlignment="1">
      <alignment vertical="center" wrapText="1"/>
    </xf>
    <xf numFmtId="171" fontId="9" fillId="3" borderId="1" xfId="1" applyNumberFormat="1" applyFont="1" applyFill="1" applyBorder="1" applyAlignment="1">
      <alignment vertical="center"/>
    </xf>
    <xf numFmtId="1" fontId="2" fillId="3" borderId="1" xfId="0" applyNumberFormat="1" applyFont="1" applyFill="1" applyBorder="1" applyAlignment="1">
      <alignment horizontal="center" vertical="center" wrapText="1"/>
    </xf>
    <xf numFmtId="1" fontId="16" fillId="3" borderId="1" xfId="0" applyNumberFormat="1" applyFont="1" applyFill="1" applyBorder="1" applyAlignment="1">
      <alignment horizontal="center" vertical="center" wrapText="1"/>
    </xf>
    <xf numFmtId="169" fontId="2" fillId="3" borderId="1" xfId="1" applyNumberFormat="1" applyFont="1" applyFill="1" applyBorder="1" applyAlignment="1">
      <alignment horizontal="center" vertical="center" wrapText="1"/>
    </xf>
    <xf numFmtId="165" fontId="7" fillId="5" borderId="1" xfId="0" applyNumberFormat="1" applyFont="1" applyFill="1" applyBorder="1" applyAlignment="1">
      <alignment horizontal="center" vertical="center"/>
    </xf>
    <xf numFmtId="165" fontId="7" fillId="5" borderId="1" xfId="0" applyNumberFormat="1" applyFont="1" applyFill="1" applyBorder="1" applyAlignment="1">
      <alignment horizontal="left" vertical="center" wrapText="1"/>
    </xf>
    <xf numFmtId="171" fontId="7" fillId="5" borderId="1" xfId="1" applyNumberFormat="1" applyFont="1" applyFill="1" applyBorder="1" applyAlignment="1">
      <alignment horizontal="center" vertical="center"/>
    </xf>
    <xf numFmtId="172" fontId="7" fillId="5" borderId="1" xfId="1" applyNumberFormat="1" applyFont="1" applyFill="1" applyBorder="1" applyAlignment="1">
      <alignment horizontal="center" vertical="center"/>
    </xf>
    <xf numFmtId="1" fontId="7" fillId="5" borderId="1" xfId="1" applyNumberFormat="1" applyFont="1" applyFill="1" applyBorder="1" applyAlignment="1">
      <alignment horizontal="center" vertical="center"/>
    </xf>
    <xf numFmtId="1" fontId="7" fillId="5" borderId="1" xfId="0" applyNumberFormat="1" applyFont="1" applyFill="1" applyBorder="1" applyAlignment="1">
      <alignment horizontal="center" vertical="center" wrapText="1"/>
    </xf>
    <xf numFmtId="1" fontId="25" fillId="5" borderId="1" xfId="0" applyNumberFormat="1" applyFont="1" applyFill="1" applyBorder="1" applyAlignment="1">
      <alignment horizontal="center" vertical="center" wrapText="1"/>
    </xf>
    <xf numFmtId="0" fontId="2" fillId="0" borderId="1" xfId="0" applyFont="1" applyBorder="1"/>
    <xf numFmtId="0" fontId="2" fillId="0" borderId="1" xfId="0" applyFont="1" applyBorder="1" applyAlignment="1">
      <alignment wrapText="1"/>
    </xf>
    <xf numFmtId="172" fontId="2" fillId="0" borderId="1" xfId="0" applyNumberFormat="1" applyFont="1" applyBorder="1"/>
    <xf numFmtId="1" fontId="2" fillId="0" borderId="1" xfId="0" applyNumberFormat="1" applyFont="1" applyBorder="1"/>
    <xf numFmtId="1" fontId="7" fillId="0" borderId="1" xfId="0" applyNumberFormat="1" applyFont="1" applyBorder="1"/>
    <xf numFmtId="0" fontId="7" fillId="0" borderId="1" xfId="0" applyFont="1" applyBorder="1"/>
    <xf numFmtId="169" fontId="7" fillId="0" borderId="1" xfId="1" applyNumberFormat="1" applyFont="1" applyFill="1" applyBorder="1"/>
    <xf numFmtId="0" fontId="2" fillId="5" borderId="1" xfId="0" applyFont="1" applyFill="1" applyBorder="1"/>
    <xf numFmtId="0" fontId="7" fillId="5" borderId="1" xfId="0" applyFont="1" applyFill="1" applyBorder="1" applyAlignment="1">
      <alignment vertical="center" wrapText="1"/>
    </xf>
    <xf numFmtId="0" fontId="7" fillId="5" borderId="1" xfId="0" applyFont="1" applyFill="1" applyBorder="1" applyAlignment="1">
      <alignment vertical="center"/>
    </xf>
    <xf numFmtId="172" fontId="7" fillId="5" borderId="1" xfId="0" applyNumberFormat="1" applyFont="1" applyFill="1" applyBorder="1" applyAlignment="1">
      <alignment vertical="center"/>
    </xf>
    <xf numFmtId="1" fontId="7" fillId="5" borderId="1" xfId="0" applyNumberFormat="1" applyFont="1" applyFill="1" applyBorder="1" applyAlignment="1">
      <alignment vertical="center"/>
    </xf>
    <xf numFmtId="171" fontId="7" fillId="5" borderId="1" xfId="0" applyNumberFormat="1" applyFont="1" applyFill="1" applyBorder="1" applyAlignment="1">
      <alignment vertical="center"/>
    </xf>
    <xf numFmtId="0" fontId="2" fillId="0" borderId="0" xfId="0" applyFont="1"/>
    <xf numFmtId="170" fontId="2" fillId="0" borderId="0" xfId="1" applyNumberFormat="1" applyFont="1"/>
    <xf numFmtId="169" fontId="2" fillId="0" borderId="0" xfId="1" applyNumberFormat="1" applyFont="1"/>
    <xf numFmtId="3" fontId="2" fillId="0" borderId="0" xfId="0" applyNumberFormat="1" applyFont="1"/>
    <xf numFmtId="175" fontId="2" fillId="0" borderId="0" xfId="0" applyNumberFormat="1" applyFont="1"/>
    <xf numFmtId="174" fontId="8" fillId="0" borderId="0" xfId="0" applyNumberFormat="1" applyFont="1"/>
    <xf numFmtId="176" fontId="8" fillId="0" borderId="0" xfId="0" applyNumberFormat="1" applyFont="1"/>
    <xf numFmtId="165" fontId="2" fillId="4" borderId="0" xfId="0" applyNumberFormat="1" applyFont="1" applyFill="1" applyAlignment="1">
      <alignment vertical="center"/>
    </xf>
    <xf numFmtId="0" fontId="28" fillId="0" borderId="0" xfId="0" applyFont="1" applyAlignment="1">
      <alignment vertical="top" wrapText="1"/>
    </xf>
    <xf numFmtId="0" fontId="28" fillId="0" borderId="0" xfId="0" applyFont="1" applyAlignment="1">
      <alignment vertical="top"/>
    </xf>
    <xf numFmtId="0" fontId="28" fillId="0" borderId="0" xfId="0" applyFont="1" applyAlignment="1">
      <alignment horizontal="right" vertical="top"/>
    </xf>
    <xf numFmtId="170" fontId="28" fillId="12" borderId="0" xfId="2" applyNumberFormat="1" applyFont="1" applyFill="1" applyAlignment="1">
      <alignment vertical="top"/>
    </xf>
    <xf numFmtId="0" fontId="28" fillId="0" borderId="0" xfId="0" applyFont="1" applyAlignment="1">
      <alignment horizontal="center" vertical="top" wrapText="1"/>
    </xf>
    <xf numFmtId="49" fontId="2" fillId="0" borderId="1" xfId="0" applyNumberFormat="1" applyFont="1" applyBorder="1" applyAlignment="1">
      <alignment horizontal="center" vertical="top" wrapText="1"/>
    </xf>
    <xf numFmtId="0" fontId="28" fillId="0" borderId="1" xfId="0" applyFont="1" applyBorder="1" applyAlignment="1">
      <alignment horizontal="center" vertical="top" wrapText="1"/>
    </xf>
    <xf numFmtId="0" fontId="28" fillId="0" borderId="1" xfId="0" applyFont="1" applyBorder="1" applyAlignment="1">
      <alignment horizontal="left" vertical="top" wrapText="1"/>
    </xf>
    <xf numFmtId="169" fontId="2" fillId="0" borderId="1" xfId="2" applyNumberFormat="1" applyFont="1" applyFill="1" applyBorder="1" applyAlignment="1">
      <alignment horizontal="center" vertical="top" wrapText="1"/>
    </xf>
    <xf numFmtId="1" fontId="28" fillId="0" borderId="1" xfId="0" applyNumberFormat="1" applyFont="1" applyBorder="1" applyAlignment="1">
      <alignment horizontal="center" vertical="top"/>
    </xf>
    <xf numFmtId="1" fontId="2" fillId="0" borderId="1" xfId="0" applyNumberFormat="1" applyFont="1" applyBorder="1" applyAlignment="1">
      <alignment horizontal="center" vertical="top"/>
    </xf>
    <xf numFmtId="169" fontId="2" fillId="0" borderId="1" xfId="2" applyNumberFormat="1" applyFont="1" applyBorder="1" applyAlignment="1">
      <alignment horizontal="center" vertical="top"/>
    </xf>
    <xf numFmtId="43" fontId="28" fillId="0" borderId="0" xfId="0" applyNumberFormat="1" applyFont="1" applyAlignment="1">
      <alignment vertical="top"/>
    </xf>
    <xf numFmtId="0" fontId="9" fillId="2" borderId="2" xfId="8" applyFont="1" applyFill="1" applyBorder="1" applyAlignment="1">
      <alignment horizontal="center" vertical="center" wrapText="1"/>
    </xf>
    <xf numFmtId="167" fontId="9" fillId="0" borderId="1" xfId="1" applyNumberFormat="1" applyFont="1" applyFill="1" applyBorder="1" applyAlignment="1">
      <alignment horizontal="right" wrapText="1"/>
    </xf>
    <xf numFmtId="168" fontId="8" fillId="0" borderId="0" xfId="10" applyNumberFormat="1" applyFont="1" applyFill="1" applyBorder="1"/>
    <xf numFmtId="167" fontId="30" fillId="0" borderId="0" xfId="0" applyNumberFormat="1" applyFont="1" applyAlignment="1">
      <alignment vertical="center"/>
    </xf>
    <xf numFmtId="167" fontId="30" fillId="0" borderId="0" xfId="1" applyNumberFormat="1" applyFont="1" applyBorder="1"/>
    <xf numFmtId="167" fontId="30" fillId="9" borderId="1" xfId="1" applyNumberFormat="1" applyFont="1" applyFill="1" applyBorder="1"/>
    <xf numFmtId="1" fontId="32" fillId="11" borderId="1" xfId="0" applyNumberFormat="1" applyFont="1" applyFill="1" applyBorder="1"/>
    <xf numFmtId="167" fontId="30" fillId="0" borderId="1" xfId="0" applyNumberFormat="1" applyFont="1" applyBorder="1"/>
    <xf numFmtId="167" fontId="32" fillId="15" borderId="1" xfId="0" applyNumberFormat="1" applyFont="1" applyFill="1" applyBorder="1"/>
    <xf numFmtId="0" fontId="32" fillId="9" borderId="1" xfId="0" applyFont="1" applyFill="1" applyBorder="1" applyAlignment="1">
      <alignment horizontal="center" vertical="center" wrapText="1"/>
    </xf>
    <xf numFmtId="0" fontId="32" fillId="8" borderId="1" xfId="0" applyFont="1" applyFill="1" applyBorder="1" applyAlignment="1">
      <alignment vertical="center"/>
    </xf>
    <xf numFmtId="0" fontId="32" fillId="15" borderId="1" xfId="0" applyFont="1" applyFill="1" applyBorder="1"/>
    <xf numFmtId="167" fontId="32" fillId="15" borderId="1" xfId="1" applyNumberFormat="1" applyFont="1" applyFill="1" applyBorder="1"/>
    <xf numFmtId="168" fontId="32" fillId="15" borderId="1" xfId="10" applyNumberFormat="1" applyFont="1" applyFill="1" applyBorder="1"/>
    <xf numFmtId="168" fontId="32" fillId="0" borderId="1" xfId="10" applyNumberFormat="1" applyFont="1" applyBorder="1"/>
    <xf numFmtId="167" fontId="30" fillId="18" borderId="1" xfId="1" applyNumberFormat="1" applyFont="1" applyFill="1" applyBorder="1"/>
    <xf numFmtId="0" fontId="30" fillId="0" borderId="1" xfId="0" applyFont="1" applyBorder="1" applyAlignment="1">
      <alignment horizontal="right"/>
    </xf>
    <xf numFmtId="43" fontId="30" fillId="6" borderId="1" xfId="1" applyNumberFormat="1" applyFont="1" applyFill="1" applyBorder="1"/>
    <xf numFmtId="0" fontId="32" fillId="15" borderId="1" xfId="0" applyFont="1" applyFill="1" applyBorder="1" applyAlignment="1">
      <alignment horizontal="center" vertical="center"/>
    </xf>
    <xf numFmtId="0" fontId="32" fillId="15" borderId="1" xfId="0" applyFont="1" applyFill="1" applyBorder="1" applyAlignment="1">
      <alignment horizontal="center" vertical="center" wrapText="1"/>
    </xf>
    <xf numFmtId="0" fontId="32" fillId="17" borderId="1" xfId="0" applyFont="1" applyFill="1" applyBorder="1" applyAlignment="1">
      <alignment horizontal="center" vertical="center"/>
    </xf>
    <xf numFmtId="0" fontId="32" fillId="17" borderId="1" xfId="0" applyFont="1" applyFill="1" applyBorder="1" applyAlignment="1">
      <alignment horizontal="center" vertical="center" wrapText="1"/>
    </xf>
    <xf numFmtId="167" fontId="32" fillId="17" borderId="1" xfId="0" applyNumberFormat="1" applyFont="1" applyFill="1" applyBorder="1"/>
    <xf numFmtId="168" fontId="32" fillId="17" borderId="1" xfId="10" applyNumberFormat="1" applyFont="1" applyFill="1" applyBorder="1"/>
    <xf numFmtId="0" fontId="32" fillId="16" borderId="1" xfId="0" applyFont="1" applyFill="1" applyBorder="1" applyAlignment="1">
      <alignment horizontal="center" vertical="center"/>
    </xf>
    <xf numFmtId="0" fontId="32" fillId="16" borderId="1" xfId="0" applyFont="1" applyFill="1" applyBorder="1" applyAlignment="1">
      <alignment horizontal="center" vertical="center" wrapText="1"/>
    </xf>
    <xf numFmtId="167" fontId="32" fillId="16" borderId="1" xfId="0" applyNumberFormat="1" applyFont="1" applyFill="1" applyBorder="1"/>
    <xf numFmtId="168" fontId="32" fillId="16" borderId="1" xfId="10" applyNumberFormat="1" applyFont="1" applyFill="1" applyBorder="1"/>
    <xf numFmtId="170" fontId="30" fillId="0" borderId="1" xfId="1" applyNumberFormat="1" applyFont="1" applyFill="1" applyBorder="1" applyAlignment="1">
      <alignment horizontal="center" vertical="center"/>
    </xf>
    <xf numFmtId="167" fontId="9" fillId="0" borderId="2" xfId="1" applyNumberFormat="1" applyFont="1" applyFill="1" applyBorder="1" applyAlignment="1">
      <alignment horizontal="center" vertical="center" wrapText="1"/>
    </xf>
    <xf numFmtId="167" fontId="32" fillId="0" borderId="1" xfId="1" applyNumberFormat="1" applyFont="1" applyFill="1" applyBorder="1" applyAlignment="1">
      <alignment horizontal="center" vertical="center" wrapText="1"/>
    </xf>
    <xf numFmtId="0" fontId="30" fillId="0" borderId="1" xfId="0" applyFont="1" applyBorder="1" applyAlignment="1">
      <alignment horizontal="right" vertical="center"/>
    </xf>
    <xf numFmtId="0" fontId="30" fillId="19" borderId="1" xfId="0" applyFont="1" applyFill="1" applyBorder="1" applyAlignment="1">
      <alignment horizontal="right"/>
    </xf>
    <xf numFmtId="167" fontId="9" fillId="19" borderId="1" xfId="1" applyNumberFormat="1" applyFont="1" applyFill="1" applyBorder="1" applyAlignment="1">
      <alignment horizontal="right" wrapText="1"/>
    </xf>
    <xf numFmtId="168" fontId="30" fillId="0" borderId="1" xfId="10" applyNumberFormat="1" applyFont="1" applyFill="1" applyBorder="1"/>
    <xf numFmtId="0" fontId="32" fillId="0" borderId="3" xfId="0" applyFont="1" applyBorder="1" applyAlignment="1">
      <alignment horizontal="center" vertical="center" wrapText="1"/>
    </xf>
    <xf numFmtId="166" fontId="30" fillId="0" borderId="0" xfId="1" applyNumberFormat="1" applyFont="1" applyFill="1" applyBorder="1"/>
    <xf numFmtId="3" fontId="30" fillId="0" borderId="1" xfId="1" applyNumberFormat="1" applyFont="1" applyBorder="1" applyAlignment="1">
      <alignment horizontal="right" vertical="center"/>
    </xf>
    <xf numFmtId="0" fontId="34" fillId="0" borderId="1" xfId="0" applyFont="1" applyBorder="1" applyAlignment="1">
      <alignment horizontal="center" vertical="center" wrapText="1"/>
    </xf>
    <xf numFmtId="169" fontId="30" fillId="0" borderId="0" xfId="1" applyNumberFormat="1" applyFont="1"/>
    <xf numFmtId="0" fontId="30" fillId="0" borderId="1" xfId="0" applyFont="1" applyBorder="1" applyAlignment="1">
      <alignment horizontal="right" wrapText="1"/>
    </xf>
    <xf numFmtId="3" fontId="10" fillId="0" borderId="1" xfId="2" applyNumberFormat="1" applyFont="1" applyBorder="1" applyAlignment="1">
      <alignment horizontal="right" vertical="center"/>
    </xf>
    <xf numFmtId="3" fontId="10" fillId="0" borderId="0" xfId="2" applyNumberFormat="1" applyFont="1" applyBorder="1" applyAlignment="1">
      <alignment horizontal="right" vertical="center"/>
    </xf>
    <xf numFmtId="3" fontId="30" fillId="9" borderId="1" xfId="0" applyNumberFormat="1" applyFont="1" applyFill="1" applyBorder="1" applyAlignment="1">
      <alignment horizontal="right" vertical="center"/>
    </xf>
    <xf numFmtId="0" fontId="30" fillId="0" borderId="0" xfId="0" applyFont="1" applyAlignment="1">
      <alignment horizontal="right" vertical="center"/>
    </xf>
    <xf numFmtId="0" fontId="30" fillId="0" borderId="1" xfId="0" applyFont="1" applyBorder="1" applyAlignment="1">
      <alignment horizontal="right" vertical="center" wrapText="1"/>
    </xf>
    <xf numFmtId="170" fontId="30" fillId="0" borderId="1" xfId="1" applyNumberFormat="1" applyFont="1" applyFill="1" applyBorder="1"/>
    <xf numFmtId="170" fontId="30" fillId="0" borderId="0" xfId="0" applyNumberFormat="1" applyFont="1"/>
    <xf numFmtId="166" fontId="30" fillId="0" borderId="1" xfId="1" applyNumberFormat="1" applyFont="1" applyBorder="1"/>
    <xf numFmtId="3" fontId="30" fillId="11" borderId="1" xfId="1" applyNumberFormat="1" applyFont="1" applyFill="1" applyBorder="1" applyAlignment="1">
      <alignment horizontal="right" vertical="center"/>
    </xf>
    <xf numFmtId="0" fontId="30" fillId="9" borderId="1" xfId="0" applyFont="1" applyFill="1" applyBorder="1" applyAlignment="1">
      <alignment vertical="center" wrapText="1"/>
    </xf>
    <xf numFmtId="0" fontId="30" fillId="13" borderId="1" xfId="0" applyFont="1" applyFill="1" applyBorder="1" applyAlignment="1">
      <alignment vertical="center"/>
    </xf>
    <xf numFmtId="0" fontId="30" fillId="13" borderId="6" xfId="0" applyFont="1" applyFill="1" applyBorder="1" applyAlignment="1">
      <alignment vertical="center"/>
    </xf>
    <xf numFmtId="0" fontId="30" fillId="13" borderId="0" xfId="0" applyFont="1" applyFill="1" applyAlignment="1">
      <alignment vertical="center"/>
    </xf>
    <xf numFmtId="0" fontId="30" fillId="9" borderId="1" xfId="0" applyFont="1" applyFill="1" applyBorder="1" applyAlignment="1">
      <alignment horizontal="center" vertical="center"/>
    </xf>
    <xf numFmtId="166" fontId="30" fillId="0" borderId="0" xfId="0" applyNumberFormat="1" applyFont="1" applyAlignment="1">
      <alignment vertical="center"/>
    </xf>
    <xf numFmtId="0" fontId="30" fillId="11" borderId="0" xfId="0" applyFont="1" applyFill="1" applyAlignment="1">
      <alignment vertical="center"/>
    </xf>
    <xf numFmtId="0" fontId="30" fillId="11" borderId="6" xfId="0" applyFont="1" applyFill="1" applyBorder="1" applyAlignment="1">
      <alignment vertical="center"/>
    </xf>
    <xf numFmtId="170" fontId="30" fillId="0" borderId="0" xfId="1" applyNumberFormat="1" applyFont="1" applyFill="1" applyBorder="1" applyAlignment="1">
      <alignment horizontal="center" vertical="center"/>
    </xf>
    <xf numFmtId="3" fontId="8" fillId="14" borderId="0" xfId="0" applyNumberFormat="1" applyFont="1" applyFill="1"/>
    <xf numFmtId="3" fontId="8" fillId="12" borderId="0" xfId="0" applyNumberFormat="1" applyFont="1" applyFill="1"/>
    <xf numFmtId="167" fontId="4" fillId="0" borderId="1" xfId="1" applyNumberFormat="1" applyFont="1" applyFill="1" applyBorder="1" applyAlignment="1">
      <alignment vertical="center"/>
    </xf>
    <xf numFmtId="177" fontId="2" fillId="0" borderId="1" xfId="1" applyNumberFormat="1" applyFont="1" applyFill="1" applyBorder="1" applyAlignment="1">
      <alignment vertical="center"/>
    </xf>
    <xf numFmtId="167" fontId="7" fillId="5" borderId="1" xfId="1" applyNumberFormat="1" applyFont="1" applyFill="1" applyBorder="1" applyAlignment="1">
      <alignment horizontal="center" vertical="center" wrapText="1"/>
    </xf>
    <xf numFmtId="167" fontId="25" fillId="5" borderId="1" xfId="1" applyNumberFormat="1" applyFont="1" applyFill="1" applyBorder="1" applyAlignment="1">
      <alignment horizontal="center" vertical="center" wrapText="1"/>
    </xf>
    <xf numFmtId="167" fontId="7" fillId="5" borderId="1" xfId="1" applyNumberFormat="1" applyFont="1" applyFill="1" applyBorder="1" applyAlignment="1">
      <alignment horizontal="center" vertical="center"/>
    </xf>
    <xf numFmtId="171" fontId="9" fillId="3" borderId="1" xfId="12" applyNumberFormat="1" applyFont="1" applyFill="1" applyBorder="1" applyAlignment="1">
      <alignment vertical="center"/>
    </xf>
    <xf numFmtId="3" fontId="4" fillId="0" borderId="1" xfId="12" applyNumberFormat="1" applyFont="1" applyFill="1" applyBorder="1" applyAlignment="1">
      <alignment vertical="center"/>
    </xf>
    <xf numFmtId="171" fontId="2" fillId="0" borderId="1" xfId="12" applyNumberFormat="1" applyFont="1" applyFill="1" applyBorder="1" applyAlignment="1">
      <alignment vertical="center"/>
    </xf>
    <xf numFmtId="171" fontId="2" fillId="0" borderId="1" xfId="12" applyNumberFormat="1" applyFont="1" applyFill="1" applyBorder="1" applyAlignment="1">
      <alignment horizontal="center" vertical="center"/>
    </xf>
    <xf numFmtId="3" fontId="2" fillId="0" borderId="1" xfId="12" applyNumberFormat="1" applyFont="1" applyFill="1" applyBorder="1" applyAlignment="1">
      <alignment horizontal="center" vertical="center"/>
    </xf>
    <xf numFmtId="3" fontId="2" fillId="0" borderId="1" xfId="12" applyNumberFormat="1" applyFont="1" applyFill="1" applyBorder="1" applyAlignment="1">
      <alignment vertical="center"/>
    </xf>
    <xf numFmtId="169" fontId="16" fillId="0" borderId="1" xfId="12" applyNumberFormat="1" applyFont="1" applyFill="1" applyBorder="1" applyAlignment="1">
      <alignment horizontal="center" vertical="center" wrapText="1"/>
    </xf>
    <xf numFmtId="3" fontId="16" fillId="0" borderId="1" xfId="12" applyNumberFormat="1" applyFont="1" applyFill="1" applyBorder="1" applyAlignment="1">
      <alignment horizontal="center" vertical="center" wrapText="1"/>
    </xf>
    <xf numFmtId="3" fontId="20" fillId="0" borderId="1" xfId="12" applyNumberFormat="1" applyFont="1" applyFill="1" applyBorder="1" applyAlignment="1">
      <alignment horizontal="center" vertical="center" wrapText="1"/>
    </xf>
    <xf numFmtId="174" fontId="20" fillId="0" borderId="1" xfId="12" applyNumberFormat="1" applyFont="1" applyFill="1" applyBorder="1" applyAlignment="1">
      <alignment horizontal="center" vertical="center" wrapText="1"/>
    </xf>
    <xf numFmtId="0" fontId="2" fillId="0" borderId="0" xfId="0" applyFont="1" applyAlignment="1">
      <alignment horizontal="right"/>
    </xf>
    <xf numFmtId="168" fontId="4" fillId="0" borderId="0" xfId="10" applyNumberFormat="1" applyFont="1" applyFill="1"/>
    <xf numFmtId="0" fontId="32" fillId="20" borderId="1" xfId="0" applyFont="1" applyFill="1" applyBorder="1" applyAlignment="1">
      <alignment vertical="center"/>
    </xf>
    <xf numFmtId="0" fontId="30" fillId="20" borderId="1" xfId="0" applyFont="1" applyFill="1" applyBorder="1" applyAlignment="1">
      <alignment vertical="center"/>
    </xf>
    <xf numFmtId="3" fontId="30" fillId="20" borderId="1" xfId="1" applyNumberFormat="1" applyFont="1" applyFill="1" applyBorder="1" applyAlignment="1">
      <alignment horizontal="right" vertical="center"/>
    </xf>
    <xf numFmtId="3" fontId="30" fillId="20" borderId="1" xfId="0" applyNumberFormat="1" applyFont="1" applyFill="1" applyBorder="1" applyAlignment="1">
      <alignment horizontal="right" vertical="center"/>
    </xf>
    <xf numFmtId="0" fontId="30" fillId="20" borderId="1" xfId="0" applyFont="1" applyFill="1" applyBorder="1" applyAlignment="1">
      <alignment horizontal="left" vertical="center" wrapText="1"/>
    </xf>
    <xf numFmtId="0" fontId="30" fillId="20" borderId="1" xfId="0" applyFont="1" applyFill="1" applyBorder="1" applyAlignment="1">
      <alignment vertical="center" wrapText="1"/>
    </xf>
    <xf numFmtId="0" fontId="30" fillId="20" borderId="1" xfId="0" applyFont="1" applyFill="1" applyBorder="1" applyAlignment="1">
      <alignment horizontal="left" vertical="center" indent="2"/>
    </xf>
    <xf numFmtId="3" fontId="10" fillId="20" borderId="1" xfId="2" applyNumberFormat="1" applyFont="1" applyFill="1" applyBorder="1" applyAlignment="1">
      <alignment horizontal="right" vertical="center"/>
    </xf>
    <xf numFmtId="0" fontId="30" fillId="20" borderId="6" xfId="0" applyFont="1" applyFill="1" applyBorder="1" applyAlignment="1">
      <alignment horizontal="left" vertical="center" wrapText="1" indent="2"/>
    </xf>
    <xf numFmtId="3" fontId="30" fillId="20" borderId="1" xfId="0" applyNumberFormat="1" applyFont="1" applyFill="1" applyBorder="1" applyAlignment="1">
      <alignment horizontal="right" vertical="center" wrapText="1"/>
    </xf>
    <xf numFmtId="170" fontId="2" fillId="3" borderId="1" xfId="1" applyNumberFormat="1" applyFont="1" applyFill="1" applyBorder="1" applyAlignment="1">
      <alignment horizontal="center" vertical="center" wrapText="1"/>
    </xf>
    <xf numFmtId="170" fontId="7" fillId="5" borderId="1" xfId="1" applyNumberFormat="1" applyFont="1" applyFill="1" applyBorder="1" applyAlignment="1">
      <alignment horizontal="center" vertical="center"/>
    </xf>
    <xf numFmtId="170" fontId="7" fillId="0" borderId="1" xfId="1" applyNumberFormat="1" applyFont="1" applyFill="1" applyBorder="1"/>
    <xf numFmtId="170" fontId="4" fillId="0" borderId="1" xfId="1" applyNumberFormat="1" applyFont="1" applyFill="1" applyBorder="1" applyAlignment="1">
      <alignment vertical="center"/>
    </xf>
    <xf numFmtId="167" fontId="2" fillId="3" borderId="1" xfId="1" applyNumberFormat="1" applyFont="1" applyFill="1" applyBorder="1" applyAlignment="1">
      <alignment horizontal="center" vertical="center" wrapText="1"/>
    </xf>
    <xf numFmtId="167" fontId="16" fillId="3" borderId="1" xfId="1" applyNumberFormat="1" applyFont="1" applyFill="1" applyBorder="1" applyAlignment="1">
      <alignment horizontal="center" vertical="center" wrapText="1"/>
    </xf>
    <xf numFmtId="167" fontId="4" fillId="0" borderId="1" xfId="1" applyNumberFormat="1" applyFont="1" applyFill="1" applyBorder="1" applyAlignment="1">
      <alignment horizontal="center" vertical="center" wrapText="1"/>
    </xf>
    <xf numFmtId="167" fontId="20" fillId="0" borderId="1" xfId="1" applyNumberFormat="1" applyFont="1" applyFill="1" applyBorder="1" applyAlignment="1">
      <alignment horizontal="center" vertical="center" wrapText="1"/>
    </xf>
    <xf numFmtId="167" fontId="16" fillId="0" borderId="1" xfId="1" applyNumberFormat="1" applyFont="1" applyFill="1" applyBorder="1" applyAlignment="1">
      <alignment horizontal="center" vertical="center" wrapText="1"/>
    </xf>
    <xf numFmtId="167" fontId="2" fillId="0" borderId="1" xfId="1" applyNumberFormat="1" applyFont="1" applyFill="1" applyBorder="1" applyAlignment="1">
      <alignment vertical="center"/>
    </xf>
    <xf numFmtId="167" fontId="2" fillId="0" borderId="1" xfId="1" applyNumberFormat="1" applyFont="1" applyFill="1" applyBorder="1" applyAlignment="1">
      <alignment horizontal="center" vertical="center" wrapText="1"/>
    </xf>
    <xf numFmtId="167" fontId="7" fillId="0" borderId="1" xfId="1" applyNumberFormat="1" applyFont="1" applyFill="1" applyBorder="1"/>
    <xf numFmtId="167" fontId="7" fillId="5" borderId="1" xfId="1" applyNumberFormat="1" applyFont="1" applyFill="1" applyBorder="1" applyAlignment="1">
      <alignment vertical="center"/>
    </xf>
    <xf numFmtId="3" fontId="8" fillId="9" borderId="0" xfId="0" applyNumberFormat="1" applyFont="1" applyFill="1"/>
    <xf numFmtId="3" fontId="30" fillId="0" borderId="0" xfId="0" applyNumberFormat="1" applyFont="1" applyAlignment="1">
      <alignment horizontal="right" vertical="center"/>
    </xf>
    <xf numFmtId="0" fontId="30" fillId="0" borderId="1" xfId="0" applyFont="1" applyBorder="1" applyAlignment="1">
      <alignment horizontal="center" vertical="center"/>
    </xf>
    <xf numFmtId="0" fontId="30" fillId="13" borderId="1" xfId="0" applyFont="1" applyFill="1" applyBorder="1" applyAlignment="1">
      <alignment horizontal="center" vertical="center"/>
    </xf>
    <xf numFmtId="0" fontId="30" fillId="0" borderId="3" xfId="0" applyFont="1" applyBorder="1" applyAlignment="1">
      <alignment horizontal="center" vertical="center"/>
    </xf>
    <xf numFmtId="0" fontId="32" fillId="13" borderId="1" xfId="0" applyFont="1" applyFill="1" applyBorder="1" applyAlignment="1">
      <alignment vertical="center"/>
    </xf>
    <xf numFmtId="3" fontId="30" fillId="0" borderId="1" xfId="0" applyNumberFormat="1" applyFont="1" applyBorder="1" applyAlignment="1">
      <alignment vertical="center"/>
    </xf>
    <xf numFmtId="3" fontId="30" fillId="0" borderId="1" xfId="1" applyNumberFormat="1" applyFont="1" applyFill="1" applyBorder="1" applyAlignment="1">
      <alignment horizontal="right" vertical="center"/>
    </xf>
    <xf numFmtId="168" fontId="30" fillId="0" borderId="1" xfId="10" applyNumberFormat="1" applyFont="1" applyFill="1" applyBorder="1" applyAlignment="1">
      <alignment horizontal="right" vertical="center"/>
    </xf>
    <xf numFmtId="0" fontId="30" fillId="13" borderId="6" xfId="0" applyFont="1" applyFill="1" applyBorder="1" applyAlignment="1">
      <alignment horizontal="left" vertical="center"/>
    </xf>
    <xf numFmtId="0" fontId="30" fillId="13" borderId="1" xfId="0" applyFont="1" applyFill="1" applyBorder="1" applyAlignment="1">
      <alignment vertical="center" wrapText="1"/>
    </xf>
    <xf numFmtId="0" fontId="30" fillId="13" borderId="1" xfId="0" applyFont="1" applyFill="1" applyBorder="1" applyAlignment="1">
      <alignment horizontal="left" vertical="center" wrapText="1"/>
    </xf>
    <xf numFmtId="175" fontId="30" fillId="0" borderId="1" xfId="1" applyNumberFormat="1" applyFont="1" applyFill="1" applyBorder="1" applyAlignment="1">
      <alignment horizontal="right" vertical="center"/>
    </xf>
    <xf numFmtId="175" fontId="30" fillId="0" borderId="0" xfId="0" applyNumberFormat="1" applyFont="1" applyAlignment="1">
      <alignment vertical="center"/>
    </xf>
    <xf numFmtId="3" fontId="30" fillId="0" borderId="1" xfId="0" applyNumberFormat="1" applyFont="1" applyBorder="1" applyAlignment="1">
      <alignment horizontal="right" vertical="center"/>
    </xf>
    <xf numFmtId="0" fontId="30" fillId="13" borderId="1" xfId="0" applyFont="1" applyFill="1" applyBorder="1" applyAlignment="1">
      <alignment horizontal="left" vertical="center"/>
    </xf>
    <xf numFmtId="0" fontId="30" fillId="13" borderId="6" xfId="0" applyFont="1" applyFill="1" applyBorder="1" applyAlignment="1">
      <alignment horizontal="left" vertical="center" wrapText="1"/>
    </xf>
    <xf numFmtId="3" fontId="30" fillId="0" borderId="1" xfId="0" applyNumberFormat="1" applyFont="1" applyBorder="1" applyAlignment="1">
      <alignment horizontal="right" vertical="center" wrapText="1"/>
    </xf>
    <xf numFmtId="3" fontId="10" fillId="0" borderId="1" xfId="2" applyNumberFormat="1" applyFont="1" applyFill="1" applyBorder="1" applyAlignment="1">
      <alignment horizontal="right" vertical="center"/>
    </xf>
    <xf numFmtId="166" fontId="30" fillId="0" borderId="1" xfId="1" applyNumberFormat="1" applyFont="1" applyFill="1" applyBorder="1" applyAlignment="1">
      <alignment horizontal="right" vertical="center"/>
    </xf>
    <xf numFmtId="169" fontId="30" fillId="0" borderId="1" xfId="0" applyNumberFormat="1" applyFont="1" applyBorder="1" applyAlignment="1">
      <alignment vertical="center"/>
    </xf>
    <xf numFmtId="169" fontId="30" fillId="0" borderId="0" xfId="0" applyNumberFormat="1" applyFont="1" applyAlignment="1">
      <alignment vertical="center"/>
    </xf>
    <xf numFmtId="169" fontId="30" fillId="0" borderId="4" xfId="0" applyNumberFormat="1" applyFont="1" applyBorder="1" applyAlignment="1">
      <alignment horizontal="center" vertical="center" wrapText="1"/>
    </xf>
    <xf numFmtId="169" fontId="30" fillId="0" borderId="6" xfId="0" applyNumberFormat="1" applyFont="1" applyBorder="1" applyAlignment="1">
      <alignment horizontal="center" vertical="center" wrapText="1"/>
    </xf>
    <xf numFmtId="169" fontId="30" fillId="0" borderId="4" xfId="0" applyNumberFormat="1" applyFont="1" applyBorder="1" applyAlignment="1">
      <alignment horizontal="center" vertical="center"/>
    </xf>
    <xf numFmtId="165" fontId="30" fillId="13" borderId="5" xfId="0" applyNumberFormat="1" applyFont="1" applyFill="1" applyBorder="1" applyAlignment="1">
      <alignment vertical="center"/>
    </xf>
    <xf numFmtId="165" fontId="30" fillId="13" borderId="0" xfId="0" applyNumberFormat="1" applyFont="1" applyFill="1" applyAlignment="1">
      <alignment vertical="center"/>
    </xf>
    <xf numFmtId="165" fontId="30" fillId="13" borderId="9" xfId="0" applyNumberFormat="1" applyFont="1" applyFill="1" applyBorder="1" applyAlignment="1">
      <alignment vertical="center"/>
    </xf>
    <xf numFmtId="165" fontId="30" fillId="13" borderId="10" xfId="0" applyNumberFormat="1" applyFont="1" applyFill="1" applyBorder="1" applyAlignment="1">
      <alignment vertical="center"/>
    </xf>
    <xf numFmtId="165" fontId="30" fillId="0" borderId="10" xfId="0" applyNumberFormat="1" applyFont="1" applyBorder="1" applyAlignment="1">
      <alignment vertical="center"/>
    </xf>
    <xf numFmtId="165" fontId="32" fillId="10" borderId="5" xfId="0" applyNumberFormat="1" applyFont="1" applyFill="1" applyBorder="1" applyAlignment="1">
      <alignment vertical="center"/>
    </xf>
    <xf numFmtId="165" fontId="32" fillId="10" borderId="0" xfId="0" applyNumberFormat="1" applyFont="1" applyFill="1" applyAlignment="1">
      <alignment vertical="center"/>
    </xf>
    <xf numFmtId="165" fontId="32" fillId="10" borderId="9" xfId="0" applyNumberFormat="1" applyFont="1" applyFill="1" applyBorder="1" applyAlignment="1">
      <alignment vertical="center"/>
    </xf>
    <xf numFmtId="165" fontId="32" fillId="10" borderId="10" xfId="0" applyNumberFormat="1" applyFont="1" applyFill="1" applyBorder="1" applyAlignment="1">
      <alignment vertical="center"/>
    </xf>
    <xf numFmtId="165" fontId="32" fillId="0" borderId="5" xfId="0" applyNumberFormat="1" applyFont="1" applyBorder="1" applyAlignment="1">
      <alignment vertical="center"/>
    </xf>
    <xf numFmtId="165" fontId="32" fillId="0" borderId="0" xfId="0" applyNumberFormat="1" applyFont="1" applyAlignment="1">
      <alignment vertical="center"/>
    </xf>
    <xf numFmtId="165" fontId="32" fillId="0" borderId="9" xfId="0" applyNumberFormat="1" applyFont="1" applyBorder="1" applyAlignment="1">
      <alignment vertical="center"/>
    </xf>
    <xf numFmtId="165" fontId="32" fillId="0" borderId="10" xfId="0" applyNumberFormat="1" applyFont="1" applyBorder="1" applyAlignment="1">
      <alignment vertical="center"/>
    </xf>
    <xf numFmtId="167" fontId="30" fillId="0" borderId="5" xfId="1" applyNumberFormat="1" applyFont="1" applyFill="1" applyBorder="1" applyAlignment="1">
      <alignment vertical="center"/>
    </xf>
    <xf numFmtId="167" fontId="30" fillId="13" borderId="0" xfId="1" applyNumberFormat="1" applyFont="1" applyFill="1" applyAlignment="1">
      <alignment vertical="center"/>
    </xf>
    <xf numFmtId="166" fontId="30" fillId="0" borderId="9" xfId="1" applyNumberFormat="1" applyFont="1" applyFill="1" applyBorder="1" applyAlignment="1">
      <alignment vertical="center"/>
    </xf>
    <xf numFmtId="165" fontId="30" fillId="10" borderId="5" xfId="0" applyNumberFormat="1" applyFont="1" applyFill="1" applyBorder="1" applyAlignment="1">
      <alignment vertical="center"/>
    </xf>
    <xf numFmtId="165" fontId="30" fillId="10" borderId="0" xfId="0" applyNumberFormat="1" applyFont="1" applyFill="1" applyAlignment="1">
      <alignment vertical="center"/>
    </xf>
    <xf numFmtId="165" fontId="30" fillId="10" borderId="9" xfId="0" applyNumberFormat="1" applyFont="1" applyFill="1" applyBorder="1" applyAlignment="1">
      <alignment vertical="center"/>
    </xf>
    <xf numFmtId="165" fontId="30" fillId="10" borderId="10" xfId="0" applyNumberFormat="1" applyFont="1" applyFill="1" applyBorder="1" applyAlignment="1">
      <alignment vertical="center"/>
    </xf>
    <xf numFmtId="166" fontId="30" fillId="0" borderId="5" xfId="1" applyNumberFormat="1" applyFont="1" applyFill="1" applyBorder="1" applyAlignment="1">
      <alignment vertical="center"/>
    </xf>
    <xf numFmtId="166" fontId="30" fillId="13" borderId="9" xfId="1" applyNumberFormat="1" applyFont="1" applyFill="1" applyBorder="1" applyAlignment="1">
      <alignment vertical="center"/>
    </xf>
    <xf numFmtId="165" fontId="30" fillId="10" borderId="3" xfId="0" applyNumberFormat="1" applyFont="1" applyFill="1" applyBorder="1" applyAlignment="1">
      <alignment vertical="center"/>
    </xf>
    <xf numFmtId="165" fontId="30" fillId="10" borderId="11" xfId="0" applyNumberFormat="1" applyFont="1" applyFill="1" applyBorder="1" applyAlignment="1">
      <alignment vertical="center"/>
    </xf>
    <xf numFmtId="165" fontId="30" fillId="10" borderId="12" xfId="0" applyNumberFormat="1" applyFont="1" applyFill="1" applyBorder="1" applyAlignment="1">
      <alignment vertical="center"/>
    </xf>
    <xf numFmtId="166" fontId="30" fillId="0" borderId="0" xfId="1" applyNumberFormat="1" applyFont="1" applyFill="1" applyAlignment="1">
      <alignment vertical="center"/>
    </xf>
    <xf numFmtId="166" fontId="30" fillId="13" borderId="0" xfId="1" applyNumberFormat="1" applyFont="1" applyFill="1" applyAlignment="1">
      <alignment vertical="center"/>
    </xf>
    <xf numFmtId="0" fontId="30" fillId="7" borderId="1" xfId="0" applyFont="1" applyFill="1" applyBorder="1" applyAlignment="1">
      <alignment vertical="center"/>
    </xf>
    <xf numFmtId="0" fontId="30" fillId="7" borderId="6" xfId="0" applyFont="1" applyFill="1" applyBorder="1" applyAlignment="1">
      <alignment horizontal="left" vertical="center" wrapText="1" indent="2"/>
    </xf>
    <xf numFmtId="3" fontId="10" fillId="7" borderId="1" xfId="2" applyNumberFormat="1" applyFont="1" applyFill="1" applyBorder="1" applyAlignment="1">
      <alignment horizontal="right" vertical="center"/>
    </xf>
    <xf numFmtId="0" fontId="32" fillId="7" borderId="1" xfId="0" applyFont="1" applyFill="1" applyBorder="1" applyAlignment="1">
      <alignment vertical="center"/>
    </xf>
    <xf numFmtId="0" fontId="32" fillId="7" borderId="6" xfId="0" applyFont="1" applyFill="1" applyBorder="1" applyAlignment="1">
      <alignment horizontal="left" vertical="center" wrapText="1" indent="2"/>
    </xf>
    <xf numFmtId="0" fontId="28" fillId="0" borderId="1" xfId="0" applyFont="1" applyBorder="1" applyAlignment="1">
      <alignment vertical="center"/>
    </xf>
    <xf numFmtId="0" fontId="28" fillId="0" borderId="1" xfId="0" applyFont="1" applyBorder="1" applyAlignment="1">
      <alignment horizontal="center" vertical="center"/>
    </xf>
    <xf numFmtId="0" fontId="28" fillId="0" borderId="1" xfId="0" applyFont="1" applyBorder="1" applyAlignment="1">
      <alignment horizontal="right" vertical="center"/>
    </xf>
    <xf numFmtId="0" fontId="28" fillId="0" borderId="1" xfId="0" applyFont="1" applyBorder="1" applyAlignment="1">
      <alignment horizontal="right" vertical="center" wrapText="1"/>
    </xf>
    <xf numFmtId="0" fontId="28" fillId="0" borderId="0" xfId="0" applyFont="1" applyAlignment="1">
      <alignment vertical="center"/>
    </xf>
    <xf numFmtId="0" fontId="30" fillId="19" borderId="1" xfId="0" applyFont="1" applyFill="1" applyBorder="1" applyAlignment="1">
      <alignment horizontal="right" wrapText="1"/>
    </xf>
    <xf numFmtId="175" fontId="30" fillId="9" borderId="1" xfId="0" applyNumberFormat="1" applyFont="1" applyFill="1" applyBorder="1" applyAlignment="1">
      <alignment horizontal="right" vertical="center"/>
    </xf>
    <xf numFmtId="3" fontId="10" fillId="0" borderId="6" xfId="2" applyNumberFormat="1" applyFont="1" applyBorder="1" applyAlignment="1">
      <alignment horizontal="right" vertical="center"/>
    </xf>
    <xf numFmtId="175" fontId="10" fillId="0" borderId="1" xfId="2" applyNumberFormat="1" applyFont="1" applyBorder="1" applyAlignment="1">
      <alignment horizontal="right" vertical="center"/>
    </xf>
    <xf numFmtId="175" fontId="30" fillId="20" borderId="1" xfId="0" applyNumberFormat="1" applyFont="1" applyFill="1" applyBorder="1" applyAlignment="1">
      <alignment horizontal="right" vertical="center" wrapText="1"/>
    </xf>
    <xf numFmtId="175" fontId="10" fillId="20" borderId="1" xfId="2" applyNumberFormat="1" applyFont="1" applyFill="1" applyBorder="1" applyAlignment="1">
      <alignment horizontal="right" vertical="center"/>
    </xf>
    <xf numFmtId="175" fontId="30" fillId="11" borderId="1" xfId="1" applyNumberFormat="1" applyFont="1" applyFill="1" applyBorder="1" applyAlignment="1">
      <alignment horizontal="right" vertical="center"/>
    </xf>
    <xf numFmtId="175" fontId="10" fillId="7" borderId="1" xfId="2" applyNumberFormat="1" applyFont="1" applyFill="1" applyBorder="1" applyAlignment="1">
      <alignment horizontal="right" vertical="center"/>
    </xf>
    <xf numFmtId="2" fontId="30" fillId="9" borderId="1" xfId="0" applyNumberFormat="1" applyFont="1" applyFill="1" applyBorder="1" applyAlignment="1">
      <alignment vertical="center"/>
    </xf>
    <xf numFmtId="3" fontId="30" fillId="0" borderId="0" xfId="0" applyNumberFormat="1" applyFont="1"/>
    <xf numFmtId="167" fontId="8" fillId="0" borderId="0" xfId="1" applyNumberFormat="1" applyFont="1" applyFill="1" applyBorder="1"/>
    <xf numFmtId="170" fontId="8" fillId="0" borderId="0" xfId="0" applyNumberFormat="1" applyFont="1"/>
    <xf numFmtId="3" fontId="8" fillId="0" borderId="0" xfId="0" applyNumberFormat="1" applyFont="1"/>
    <xf numFmtId="0" fontId="32" fillId="0" borderId="0" xfId="0" applyFont="1" applyAlignment="1">
      <alignment vertical="center"/>
    </xf>
    <xf numFmtId="3" fontId="30" fillId="0" borderId="0" xfId="0" applyNumberFormat="1" applyFont="1" applyAlignment="1">
      <alignment vertical="center"/>
    </xf>
    <xf numFmtId="3" fontId="32" fillId="12" borderId="0" xfId="0" applyNumberFormat="1" applyFont="1" applyFill="1" applyAlignment="1">
      <alignment horizontal="right" vertical="center"/>
    </xf>
    <xf numFmtId="3" fontId="2" fillId="12" borderId="0" xfId="0" applyNumberFormat="1" applyFont="1" applyFill="1" applyAlignment="1">
      <alignment horizontal="center" vertical="top"/>
    </xf>
    <xf numFmtId="3" fontId="4" fillId="0" borderId="0" xfId="0" applyNumberFormat="1" applyFont="1" applyAlignment="1">
      <alignment vertical="top"/>
    </xf>
    <xf numFmtId="4" fontId="10" fillId="0" borderId="1" xfId="2" applyNumberFormat="1" applyFont="1" applyBorder="1" applyAlignment="1">
      <alignment horizontal="right" vertical="center"/>
    </xf>
    <xf numFmtId="3" fontId="16" fillId="13" borderId="1" xfId="12" applyNumberFormat="1" applyFont="1" applyFill="1" applyBorder="1" applyAlignment="1"/>
    <xf numFmtId="170" fontId="16" fillId="13" borderId="1" xfId="12" applyNumberFormat="1" applyFont="1" applyFill="1" applyBorder="1" applyAlignment="1"/>
    <xf numFmtId="171" fontId="2" fillId="13" borderId="1" xfId="12" applyNumberFormat="1" applyFont="1" applyFill="1" applyBorder="1" applyAlignment="1"/>
    <xf numFmtId="170" fontId="20" fillId="13" borderId="1" xfId="12" applyNumberFormat="1" applyFont="1" applyFill="1" applyBorder="1" applyAlignment="1"/>
    <xf numFmtId="3" fontId="2" fillId="13" borderId="1" xfId="0" applyNumberFormat="1" applyFont="1" applyFill="1" applyBorder="1"/>
    <xf numFmtId="3" fontId="4" fillId="13" borderId="1" xfId="0" applyNumberFormat="1" applyFont="1" applyFill="1" applyBorder="1"/>
    <xf numFmtId="167" fontId="4" fillId="0" borderId="0" xfId="1" applyNumberFormat="1" applyFont="1" applyAlignment="1">
      <alignment vertical="top"/>
    </xf>
    <xf numFmtId="3" fontId="28" fillId="0" borderId="0" xfId="0" applyNumberFormat="1" applyFont="1" applyAlignment="1">
      <alignment vertical="top"/>
    </xf>
    <xf numFmtId="170" fontId="30" fillId="0" borderId="1" xfId="3" applyNumberFormat="1" applyFont="1" applyBorder="1" applyAlignment="1">
      <alignment vertical="center"/>
    </xf>
    <xf numFmtId="167" fontId="30" fillId="0" borderId="1" xfId="1" applyNumberFormat="1" applyFont="1" applyBorder="1" applyAlignment="1">
      <alignment horizontal="right" vertical="center"/>
    </xf>
    <xf numFmtId="168" fontId="30" fillId="0" borderId="1" xfId="10" applyNumberFormat="1" applyFont="1" applyBorder="1" applyAlignment="1">
      <alignment horizontal="right" vertical="center"/>
    </xf>
    <xf numFmtId="2" fontId="30" fillId="0" borderId="0" xfId="0" applyNumberFormat="1" applyFont="1" applyAlignment="1">
      <alignment vertical="center"/>
    </xf>
    <xf numFmtId="167" fontId="30" fillId="0" borderId="0" xfId="1" applyNumberFormat="1" applyFont="1" applyAlignment="1">
      <alignment vertical="center"/>
    </xf>
    <xf numFmtId="167" fontId="28" fillId="0" borderId="0" xfId="1" applyNumberFormat="1" applyFont="1" applyAlignment="1">
      <alignment vertical="center"/>
    </xf>
    <xf numFmtId="175" fontId="30" fillId="12" borderId="1" xfId="0" applyNumberFormat="1" applyFont="1" applyFill="1" applyBorder="1" applyAlignment="1">
      <alignment horizontal="right" vertical="center"/>
    </xf>
    <xf numFmtId="167" fontId="30" fillId="12" borderId="1" xfId="1" applyNumberFormat="1" applyFont="1" applyFill="1" applyBorder="1" applyAlignment="1">
      <alignment horizontal="right" vertical="center"/>
    </xf>
    <xf numFmtId="3" fontId="30" fillId="12" borderId="1" xfId="0" applyNumberFormat="1" applyFont="1" applyFill="1" applyBorder="1" applyAlignment="1">
      <alignment horizontal="right" vertical="center"/>
    </xf>
    <xf numFmtId="9" fontId="30" fillId="0" borderId="0" xfId="10" applyFont="1" applyAlignment="1">
      <alignment vertical="center"/>
    </xf>
    <xf numFmtId="168" fontId="30" fillId="0" borderId="0" xfId="10" applyNumberFormat="1" applyFont="1" applyAlignment="1">
      <alignment vertical="center"/>
    </xf>
    <xf numFmtId="167" fontId="30" fillId="0" borderId="0" xfId="1" applyNumberFormat="1" applyFont="1" applyAlignment="1">
      <alignment horizontal="right" vertical="center"/>
    </xf>
    <xf numFmtId="10" fontId="30" fillId="0" borderId="0" xfId="10" applyNumberFormat="1" applyFont="1" applyFill="1" applyAlignment="1">
      <alignment vertical="center"/>
    </xf>
    <xf numFmtId="9" fontId="10" fillId="0" borderId="0" xfId="10" applyFont="1" applyBorder="1" applyAlignment="1">
      <alignment horizontal="right" vertical="center"/>
    </xf>
    <xf numFmtId="168" fontId="30" fillId="0" borderId="0" xfId="10" applyNumberFormat="1" applyFont="1" applyBorder="1" applyAlignment="1">
      <alignment horizontal="right" vertical="center"/>
    </xf>
    <xf numFmtId="9" fontId="30" fillId="0" borderId="0" xfId="10" applyFont="1" applyBorder="1" applyAlignment="1">
      <alignment horizontal="right" vertical="center"/>
    </xf>
    <xf numFmtId="0" fontId="28" fillId="21" borderId="1" xfId="0" applyFont="1" applyFill="1" applyBorder="1" applyAlignment="1">
      <alignment vertical="center"/>
    </xf>
    <xf numFmtId="0" fontId="28" fillId="21" borderId="1" xfId="0" applyFont="1" applyFill="1" applyBorder="1" applyAlignment="1">
      <alignment horizontal="center" vertical="center"/>
    </xf>
    <xf numFmtId="0" fontId="28" fillId="21" borderId="1" xfId="0" applyFont="1" applyFill="1" applyBorder="1" applyAlignment="1">
      <alignment horizontal="right" vertical="center" wrapText="1"/>
    </xf>
    <xf numFmtId="0" fontId="30" fillId="21" borderId="1" xfId="0" applyFont="1" applyFill="1" applyBorder="1" applyAlignment="1">
      <alignment vertical="center"/>
    </xf>
    <xf numFmtId="0" fontId="30" fillId="21" borderId="1" xfId="0" applyFont="1" applyFill="1" applyBorder="1" applyAlignment="1">
      <alignment horizontal="right" vertical="center"/>
    </xf>
    <xf numFmtId="167" fontId="30" fillId="21" borderId="1" xfId="1" applyNumberFormat="1" applyFont="1" applyFill="1" applyBorder="1" applyAlignment="1">
      <alignment horizontal="right" vertical="center"/>
    </xf>
    <xf numFmtId="166" fontId="30" fillId="0" borderId="0" xfId="1" applyNumberFormat="1" applyFont="1" applyAlignment="1">
      <alignment vertical="center"/>
    </xf>
    <xf numFmtId="10" fontId="30" fillId="0" borderId="1" xfId="10" applyNumberFormat="1" applyFont="1" applyBorder="1" applyAlignment="1">
      <alignment horizontal="right" vertical="center"/>
    </xf>
    <xf numFmtId="167" fontId="32" fillId="0" borderId="0" xfId="1" applyNumberFormat="1" applyFont="1" applyAlignment="1">
      <alignment horizontal="right" vertical="center"/>
    </xf>
    <xf numFmtId="10" fontId="30" fillId="21" borderId="1" xfId="10" applyNumberFormat="1" applyFont="1" applyFill="1" applyBorder="1" applyAlignment="1">
      <alignment horizontal="right" vertical="center"/>
    </xf>
    <xf numFmtId="170" fontId="30" fillId="21" borderId="1" xfId="3" applyNumberFormat="1" applyFont="1" applyFill="1" applyBorder="1" applyAlignment="1">
      <alignment vertical="center"/>
    </xf>
    <xf numFmtId="9" fontId="30" fillId="9" borderId="1" xfId="10" applyFont="1" applyFill="1" applyBorder="1" applyAlignment="1">
      <alignment horizontal="right" vertical="center"/>
    </xf>
    <xf numFmtId="9" fontId="30" fillId="20" borderId="1" xfId="1" applyNumberFormat="1" applyFont="1" applyFill="1" applyBorder="1" applyAlignment="1">
      <alignment horizontal="right" vertical="center"/>
    </xf>
    <xf numFmtId="168" fontId="30" fillId="20" borderId="1" xfId="10" applyNumberFormat="1" applyFont="1" applyFill="1" applyBorder="1" applyAlignment="1">
      <alignment horizontal="right" vertical="center"/>
    </xf>
    <xf numFmtId="0" fontId="30" fillId="0" borderId="0" xfId="0" applyFont="1" applyBorder="1" applyAlignment="1">
      <alignment vertical="center"/>
    </xf>
    <xf numFmtId="0" fontId="30" fillId="13" borderId="0" xfId="0" applyFont="1" applyFill="1" applyBorder="1" applyAlignment="1">
      <alignment vertical="center"/>
    </xf>
    <xf numFmtId="175" fontId="10" fillId="0" borderId="0" xfId="2" applyNumberFormat="1" applyFont="1" applyBorder="1" applyAlignment="1">
      <alignment horizontal="right" vertical="center"/>
    </xf>
    <xf numFmtId="175" fontId="37" fillId="0" borderId="0" xfId="2" applyNumberFormat="1" applyFont="1" applyBorder="1" applyAlignment="1">
      <alignment horizontal="right" vertical="center"/>
    </xf>
    <xf numFmtId="9" fontId="10" fillId="0" borderId="0" xfId="10" applyNumberFormat="1" applyFont="1" applyBorder="1" applyAlignment="1">
      <alignment horizontal="right" vertical="center"/>
    </xf>
    <xf numFmtId="49" fontId="14" fillId="0" borderId="1" xfId="0" applyNumberFormat="1" applyFont="1" applyBorder="1" applyAlignment="1">
      <alignment horizontal="center" vertical="top" wrapText="1"/>
    </xf>
    <xf numFmtId="0" fontId="12" fillId="0" borderId="0" xfId="0" applyFont="1" applyAlignment="1">
      <alignment horizontal="center"/>
    </xf>
    <xf numFmtId="49" fontId="28" fillId="0" borderId="6" xfId="0" applyNumberFormat="1" applyFont="1" applyBorder="1" applyAlignment="1">
      <alignment horizontal="center" vertical="top" wrapText="1"/>
    </xf>
    <xf numFmtId="3" fontId="30" fillId="9" borderId="1" xfId="0" applyNumberFormat="1" applyFont="1" applyFill="1" applyBorder="1" applyAlignment="1">
      <alignment vertical="center"/>
    </xf>
    <xf numFmtId="3" fontId="30" fillId="20" borderId="1" xfId="0" applyNumberFormat="1" applyFont="1" applyFill="1" applyBorder="1" applyAlignment="1">
      <alignment vertical="center"/>
    </xf>
    <xf numFmtId="0" fontId="30" fillId="11" borderId="7" xfId="0" applyFont="1" applyFill="1" applyBorder="1" applyAlignment="1">
      <alignment horizontal="left" vertical="center" indent="2"/>
    </xf>
    <xf numFmtId="3" fontId="30" fillId="11" borderId="1" xfId="0" applyNumberFormat="1" applyFont="1" applyFill="1" applyBorder="1" applyAlignment="1">
      <alignment vertical="center"/>
    </xf>
    <xf numFmtId="0" fontId="30" fillId="11" borderId="4" xfId="0" applyFont="1" applyFill="1" applyBorder="1" applyAlignment="1">
      <alignment vertical="center"/>
    </xf>
    <xf numFmtId="0" fontId="32" fillId="11" borderId="4" xfId="0" applyFont="1" applyFill="1" applyBorder="1" applyAlignment="1">
      <alignment vertical="center"/>
    </xf>
    <xf numFmtId="0" fontId="30" fillId="20" borderId="2" xfId="0" applyFont="1" applyFill="1" applyBorder="1" applyAlignment="1">
      <alignment horizontal="left" vertical="center" indent="2"/>
    </xf>
    <xf numFmtId="3" fontId="30" fillId="20" borderId="2" xfId="0" applyNumberFormat="1" applyFont="1" applyFill="1" applyBorder="1" applyAlignment="1">
      <alignment vertical="center"/>
    </xf>
    <xf numFmtId="0" fontId="30" fillId="11" borderId="8" xfId="0" applyFont="1" applyFill="1" applyBorder="1" applyAlignment="1">
      <alignment horizontal="left" vertical="center" indent="2"/>
    </xf>
    <xf numFmtId="3" fontId="30" fillId="11" borderId="3" xfId="0" applyNumberFormat="1" applyFont="1" applyFill="1" applyBorder="1" applyAlignment="1">
      <alignment vertical="center"/>
    </xf>
    <xf numFmtId="0" fontId="30" fillId="11" borderId="7" xfId="0" applyFont="1" applyFill="1" applyBorder="1" applyAlignment="1">
      <alignment vertical="center"/>
    </xf>
    <xf numFmtId="0" fontId="30" fillId="9" borderId="2" xfId="0" applyFont="1" applyFill="1" applyBorder="1" applyAlignment="1">
      <alignment vertical="center"/>
    </xf>
    <xf numFmtId="0" fontId="30" fillId="9" borderId="2" xfId="0" applyFont="1" applyFill="1" applyBorder="1" applyAlignment="1">
      <alignment vertical="center" wrapText="1"/>
    </xf>
    <xf numFmtId="3" fontId="30" fillId="9" borderId="2" xfId="0" applyNumberFormat="1" applyFont="1" applyFill="1" applyBorder="1" applyAlignment="1">
      <alignment vertical="center"/>
    </xf>
    <xf numFmtId="0" fontId="30" fillId="20" borderId="3" xfId="0" applyFont="1" applyFill="1" applyBorder="1" applyAlignment="1">
      <alignment vertical="center"/>
    </xf>
    <xf numFmtId="3" fontId="30" fillId="20" borderId="3" xfId="0" applyNumberFormat="1" applyFont="1" applyFill="1" applyBorder="1" applyAlignment="1">
      <alignment vertical="center"/>
    </xf>
    <xf numFmtId="0" fontId="32" fillId="20" borderId="4" xfId="0" applyFont="1" applyFill="1" applyBorder="1" applyAlignment="1">
      <alignment vertical="center"/>
    </xf>
    <xf numFmtId="0" fontId="30" fillId="20" borderId="7" xfId="0" applyFont="1" applyFill="1" applyBorder="1" applyAlignment="1">
      <alignment vertical="center"/>
    </xf>
    <xf numFmtId="0" fontId="30" fillId="20" borderId="6" xfId="0" applyFont="1" applyFill="1" applyBorder="1" applyAlignment="1">
      <alignment vertical="center"/>
    </xf>
    <xf numFmtId="0" fontId="30" fillId="0" borderId="2" xfId="0" applyFont="1" applyBorder="1" applyAlignment="1">
      <alignment vertical="center"/>
    </xf>
    <xf numFmtId="0" fontId="30" fillId="0" borderId="2" xfId="0" applyFont="1" applyBorder="1" applyAlignment="1">
      <alignment horizontal="center" vertical="center" wrapText="1"/>
    </xf>
    <xf numFmtId="0" fontId="30" fillId="9" borderId="3" xfId="0" applyFont="1" applyFill="1" applyBorder="1" applyAlignment="1">
      <alignment vertical="center"/>
    </xf>
    <xf numFmtId="3" fontId="30" fillId="9" borderId="3" xfId="0" applyNumberFormat="1" applyFont="1" applyFill="1" applyBorder="1" applyAlignment="1">
      <alignment vertical="center"/>
    </xf>
    <xf numFmtId="0" fontId="32" fillId="9" borderId="4" xfId="0" applyFont="1" applyFill="1" applyBorder="1" applyAlignment="1">
      <alignment vertical="center"/>
    </xf>
    <xf numFmtId="0" fontId="30" fillId="9" borderId="7" xfId="0" applyFont="1" applyFill="1" applyBorder="1" applyAlignment="1">
      <alignment horizontal="center" vertical="center"/>
    </xf>
    <xf numFmtId="0" fontId="30" fillId="9" borderId="7" xfId="0" applyFont="1" applyFill="1" applyBorder="1" applyAlignment="1">
      <alignment vertical="center"/>
    </xf>
    <xf numFmtId="0" fontId="30" fillId="9" borderId="6" xfId="0" applyFont="1" applyFill="1" applyBorder="1" applyAlignment="1">
      <alignment vertical="center"/>
    </xf>
    <xf numFmtId="167" fontId="30" fillId="20" borderId="1" xfId="1" applyNumberFormat="1" applyFont="1" applyFill="1" applyBorder="1" applyAlignment="1">
      <alignment vertical="center"/>
    </xf>
    <xf numFmtId="167" fontId="30" fillId="20" borderId="2" xfId="1" applyNumberFormat="1" applyFont="1" applyFill="1" applyBorder="1" applyAlignment="1">
      <alignment vertical="center"/>
    </xf>
    <xf numFmtId="167" fontId="30" fillId="11" borderId="3" xfId="1" applyNumberFormat="1" applyFont="1" applyFill="1" applyBorder="1" applyAlignment="1">
      <alignment vertical="center"/>
    </xf>
    <xf numFmtId="167" fontId="30" fillId="11" borderId="1" xfId="1" applyNumberFormat="1" applyFont="1" applyFill="1" applyBorder="1" applyAlignment="1">
      <alignment vertical="center"/>
    </xf>
    <xf numFmtId="165" fontId="30" fillId="0" borderId="1" xfId="0" applyNumberFormat="1" applyFont="1" applyBorder="1" applyAlignment="1">
      <alignment vertical="center"/>
    </xf>
    <xf numFmtId="0" fontId="30" fillId="0" borderId="4" xfId="0" applyFont="1" applyBorder="1" applyAlignment="1">
      <alignment horizontal="center" vertical="center"/>
    </xf>
    <xf numFmtId="170" fontId="30" fillId="0" borderId="3" xfId="3" applyNumberFormat="1" applyFont="1" applyBorder="1" applyAlignment="1">
      <alignment vertical="center"/>
    </xf>
    <xf numFmtId="0" fontId="30" fillId="0" borderId="4" xfId="0" applyFont="1" applyBorder="1" applyAlignment="1">
      <alignment vertical="center"/>
    </xf>
    <xf numFmtId="0" fontId="30" fillId="0" borderId="7" xfId="0" applyFont="1" applyBorder="1" applyAlignment="1">
      <alignment vertical="center"/>
    </xf>
    <xf numFmtId="0" fontId="30" fillId="0" borderId="6" xfId="0" applyFont="1" applyBorder="1" applyAlignment="1">
      <alignment vertical="center"/>
    </xf>
    <xf numFmtId="0" fontId="30" fillId="13" borderId="3" xfId="0" applyFont="1" applyFill="1" applyBorder="1" applyAlignment="1">
      <alignment vertical="center"/>
    </xf>
    <xf numFmtId="168" fontId="30" fillId="0" borderId="1" xfId="10" applyNumberFormat="1" applyFont="1" applyBorder="1" applyAlignment="1">
      <alignment vertical="center"/>
    </xf>
    <xf numFmtId="168" fontId="30" fillId="0" borderId="0" xfId="10" applyNumberFormat="1" applyFont="1" applyBorder="1" applyAlignment="1">
      <alignment vertical="center"/>
    </xf>
    <xf numFmtId="0" fontId="30" fillId="10" borderId="1" xfId="0" applyFont="1" applyFill="1" applyBorder="1" applyAlignment="1">
      <alignment vertical="center"/>
    </xf>
    <xf numFmtId="168" fontId="30" fillId="10" borderId="1" xfId="10" applyNumberFormat="1" applyFont="1" applyFill="1" applyBorder="1" applyAlignment="1">
      <alignment vertical="center"/>
    </xf>
    <xf numFmtId="165" fontId="30" fillId="0" borderId="0" xfId="0" applyNumberFormat="1" applyFont="1" applyAlignment="1">
      <alignment vertical="center"/>
    </xf>
    <xf numFmtId="43" fontId="30" fillId="0" borderId="1" xfId="1" applyNumberFormat="1" applyFont="1" applyFill="1" applyBorder="1" applyAlignment="1">
      <alignment vertical="center"/>
    </xf>
    <xf numFmtId="9" fontId="30" fillId="0" borderId="1" xfId="10" applyFont="1" applyFill="1" applyBorder="1" applyAlignment="1">
      <alignment vertical="center"/>
    </xf>
    <xf numFmtId="166" fontId="30" fillId="0" borderId="1" xfId="1" applyNumberFormat="1" applyFont="1" applyFill="1" applyBorder="1" applyAlignment="1">
      <alignment vertical="center"/>
    </xf>
    <xf numFmtId="10" fontId="30" fillId="0" borderId="1" xfId="10" applyNumberFormat="1" applyFont="1" applyFill="1" applyBorder="1" applyAlignment="1">
      <alignment vertical="center"/>
    </xf>
    <xf numFmtId="0" fontId="28" fillId="19" borderId="1" xfId="0" applyFont="1" applyFill="1" applyBorder="1" applyAlignment="1">
      <alignment vertical="center"/>
    </xf>
    <xf numFmtId="0" fontId="28" fillId="19" borderId="1" xfId="0" applyFont="1" applyFill="1" applyBorder="1" applyAlignment="1">
      <alignment horizontal="center" vertical="center"/>
    </xf>
    <xf numFmtId="0" fontId="28" fillId="19" borderId="1" xfId="0" applyFont="1" applyFill="1" applyBorder="1" applyAlignment="1">
      <alignment horizontal="right" vertical="center" wrapText="1"/>
    </xf>
    <xf numFmtId="0" fontId="30" fillId="19" borderId="1" xfId="0" applyFont="1" applyFill="1" applyBorder="1" applyAlignment="1">
      <alignment vertical="center"/>
    </xf>
    <xf numFmtId="0" fontId="30" fillId="19" borderId="1" xfId="0" applyFont="1" applyFill="1" applyBorder="1" applyAlignment="1">
      <alignment horizontal="right" vertical="center"/>
    </xf>
    <xf numFmtId="170" fontId="30" fillId="19" borderId="1" xfId="3" applyNumberFormat="1" applyFont="1" applyFill="1" applyBorder="1" applyAlignment="1">
      <alignment vertical="center"/>
    </xf>
    <xf numFmtId="167" fontId="30" fillId="19" borderId="1" xfId="1" applyNumberFormat="1" applyFont="1" applyFill="1" applyBorder="1" applyAlignment="1">
      <alignment horizontal="right" vertical="center"/>
    </xf>
    <xf numFmtId="10" fontId="30" fillId="19" borderId="1" xfId="10" applyNumberFormat="1" applyFont="1" applyFill="1" applyBorder="1" applyAlignment="1">
      <alignment horizontal="right" vertical="center"/>
    </xf>
    <xf numFmtId="168" fontId="30" fillId="19" borderId="1" xfId="10" applyNumberFormat="1" applyFont="1" applyFill="1" applyBorder="1" applyAlignment="1">
      <alignment horizontal="right" vertical="center"/>
    </xf>
    <xf numFmtId="4" fontId="30" fillId="12" borderId="1" xfId="0" applyNumberFormat="1" applyFont="1" applyFill="1" applyBorder="1" applyAlignment="1">
      <alignment horizontal="right" vertical="center"/>
    </xf>
    <xf numFmtId="168" fontId="30" fillId="0" borderId="0" xfId="10" applyNumberFormat="1" applyFont="1" applyAlignment="1">
      <alignment horizontal="right" vertical="center"/>
    </xf>
    <xf numFmtId="168" fontId="30" fillId="0" borderId="0" xfId="0" applyNumberFormat="1" applyFont="1" applyAlignment="1">
      <alignment vertical="center"/>
    </xf>
    <xf numFmtId="168" fontId="10" fillId="0" borderId="0" xfId="10" applyNumberFormat="1" applyFont="1" applyBorder="1" applyAlignment="1">
      <alignment horizontal="right" vertical="center"/>
    </xf>
    <xf numFmtId="0" fontId="2" fillId="0" borderId="1" xfId="9" applyFont="1" applyFill="1" applyBorder="1" applyAlignment="1">
      <alignment horizontal="right" wrapText="1"/>
    </xf>
    <xf numFmtId="0" fontId="2" fillId="12" borderId="1" xfId="9" applyFont="1" applyFill="1" applyBorder="1" applyAlignment="1">
      <alignment horizontal="right" wrapText="1"/>
    </xf>
    <xf numFmtId="10" fontId="30" fillId="0" borderId="0" xfId="10" applyNumberFormat="1" applyFont="1"/>
    <xf numFmtId="3" fontId="30" fillId="0" borderId="0" xfId="0" applyNumberFormat="1" applyFont="1" applyFill="1"/>
    <xf numFmtId="0" fontId="30" fillId="0" borderId="1" xfId="0" applyFont="1" applyFill="1" applyBorder="1" applyAlignment="1">
      <alignment horizontal="right" wrapText="1"/>
    </xf>
    <xf numFmtId="0" fontId="30" fillId="0" borderId="1" xfId="0" applyFont="1" applyFill="1" applyBorder="1" applyAlignment="1">
      <alignment horizontal="right"/>
    </xf>
    <xf numFmtId="167" fontId="30" fillId="0" borderId="1" xfId="1" applyNumberFormat="1" applyFont="1" applyFill="1" applyBorder="1"/>
    <xf numFmtId="0" fontId="30" fillId="0" borderId="0" xfId="0" applyFont="1" applyFill="1"/>
    <xf numFmtId="0" fontId="32" fillId="0" borderId="1" xfId="0" applyFont="1" applyFill="1" applyBorder="1" applyAlignment="1">
      <alignment horizontal="center" vertical="center"/>
    </xf>
    <xf numFmtId="167" fontId="32" fillId="0" borderId="1" xfId="1" applyNumberFormat="1" applyFont="1" applyFill="1" applyBorder="1"/>
    <xf numFmtId="168" fontId="32" fillId="0" borderId="1" xfId="10" applyNumberFormat="1" applyFont="1" applyFill="1" applyBorder="1"/>
    <xf numFmtId="167" fontId="32" fillId="0" borderId="3" xfId="0" applyNumberFormat="1" applyFont="1" applyFill="1" applyBorder="1" applyAlignment="1">
      <alignment horizontal="center" vertical="center"/>
    </xf>
    <xf numFmtId="0" fontId="32" fillId="0" borderId="3" xfId="0" applyFont="1" applyFill="1" applyBorder="1" applyAlignment="1">
      <alignment horizontal="center" vertical="center"/>
    </xf>
    <xf numFmtId="0" fontId="32" fillId="0" borderId="3" xfId="0" applyFont="1" applyFill="1" applyBorder="1" applyAlignment="1">
      <alignment horizontal="center" vertical="center" wrapText="1"/>
    </xf>
    <xf numFmtId="167" fontId="32" fillId="0" borderId="1" xfId="0" applyNumberFormat="1" applyFont="1" applyFill="1" applyBorder="1"/>
    <xf numFmtId="167" fontId="30" fillId="0" borderId="1" xfId="0" applyNumberFormat="1" applyFont="1" applyFill="1" applyBorder="1"/>
    <xf numFmtId="168" fontId="30" fillId="0" borderId="0" xfId="10" applyNumberFormat="1" applyFont="1" applyFill="1"/>
    <xf numFmtId="164" fontId="30" fillId="0" borderId="0" xfId="1" applyFont="1" applyFill="1"/>
    <xf numFmtId="0" fontId="30" fillId="0" borderId="0" xfId="0" applyFont="1" applyFill="1" applyAlignment="1">
      <alignment vertical="center"/>
    </xf>
    <xf numFmtId="178" fontId="30" fillId="0" borderId="0" xfId="0" applyNumberFormat="1" applyFont="1" applyFill="1"/>
    <xf numFmtId="179" fontId="30" fillId="0" borderId="0" xfId="0" applyNumberFormat="1" applyFont="1" applyFill="1"/>
    <xf numFmtId="167" fontId="30" fillId="0" borderId="0" xfId="0" applyNumberFormat="1" applyFont="1" applyFill="1"/>
    <xf numFmtId="0" fontId="36" fillId="0" borderId="0" xfId="0" applyFont="1" applyFill="1"/>
    <xf numFmtId="0" fontId="9" fillId="19" borderId="2" xfId="8" applyFont="1" applyFill="1" applyBorder="1" applyAlignment="1">
      <alignment horizontal="center" vertical="center" wrapText="1"/>
    </xf>
    <xf numFmtId="1" fontId="2" fillId="0" borderId="1" xfId="9" applyNumberFormat="1" applyFont="1" applyFill="1" applyBorder="1" applyAlignment="1">
      <alignment horizontal="right" wrapText="1"/>
    </xf>
    <xf numFmtId="2" fontId="9" fillId="0" borderId="1" xfId="9" applyNumberFormat="1" applyFont="1" applyBorder="1" applyAlignment="1">
      <alignment horizontal="right" wrapText="1"/>
    </xf>
    <xf numFmtId="3" fontId="2" fillId="3" borderId="1" xfId="0" applyNumberFormat="1" applyFont="1" applyFill="1" applyBorder="1" applyAlignment="1">
      <alignment horizontal="center" vertical="center" wrapText="1"/>
    </xf>
    <xf numFmtId="3" fontId="16" fillId="3" borderId="1" xfId="0" applyNumberFormat="1" applyFont="1" applyFill="1" applyBorder="1" applyAlignment="1">
      <alignment horizontal="center" vertical="center" wrapText="1"/>
    </xf>
    <xf numFmtId="3" fontId="2" fillId="3" borderId="1" xfId="12" applyNumberFormat="1" applyFont="1" applyFill="1" applyBorder="1" applyAlignment="1">
      <alignment horizontal="center" vertical="center" wrapText="1"/>
    </xf>
    <xf numFmtId="2" fontId="4" fillId="0" borderId="1" xfId="12" applyNumberFormat="1" applyFont="1" applyFill="1" applyBorder="1" applyAlignment="1">
      <alignment vertical="center"/>
    </xf>
    <xf numFmtId="1" fontId="4" fillId="0" borderId="1" xfId="12" applyNumberFormat="1" applyFont="1" applyFill="1" applyBorder="1" applyAlignment="1">
      <alignment vertical="center"/>
    </xf>
    <xf numFmtId="3" fontId="4" fillId="0" borderId="1" xfId="0" applyNumberFormat="1" applyFont="1" applyFill="1" applyBorder="1" applyAlignment="1">
      <alignment horizontal="center" vertical="center" wrapText="1"/>
    </xf>
    <xf numFmtId="3" fontId="20" fillId="0" borderId="1" xfId="0" applyNumberFormat="1" applyFont="1" applyFill="1" applyBorder="1" applyAlignment="1">
      <alignment horizontal="center" vertical="center" wrapText="1"/>
    </xf>
    <xf numFmtId="165" fontId="4" fillId="0" borderId="1" xfId="12" applyNumberFormat="1" applyFont="1" applyFill="1" applyBorder="1" applyAlignment="1">
      <alignment vertical="center"/>
    </xf>
    <xf numFmtId="2" fontId="2" fillId="0" borderId="1" xfId="12" applyNumberFormat="1" applyFont="1" applyFill="1" applyBorder="1" applyAlignment="1">
      <alignment horizontal="center" vertical="center"/>
    </xf>
    <xf numFmtId="3" fontId="16" fillId="0" borderId="1" xfId="0" applyNumberFormat="1" applyFont="1" applyFill="1" applyBorder="1" applyAlignment="1">
      <alignment horizontal="center" vertical="center" wrapText="1"/>
    </xf>
    <xf numFmtId="2" fontId="16" fillId="0" borderId="1" xfId="12" applyNumberFormat="1" applyFont="1" applyFill="1" applyBorder="1" applyAlignment="1">
      <alignment horizontal="center" vertical="center" wrapText="1"/>
    </xf>
    <xf numFmtId="0" fontId="8" fillId="0" borderId="1" xfId="0" applyFont="1" applyBorder="1"/>
    <xf numFmtId="49" fontId="14" fillId="0" borderId="1" xfId="0" applyNumberFormat="1" applyFont="1" applyFill="1" applyBorder="1" applyAlignment="1">
      <alignment horizontal="center" vertical="center" wrapText="1"/>
    </xf>
    <xf numFmtId="174" fontId="2" fillId="0" borderId="1" xfId="1" applyNumberFormat="1" applyFont="1" applyFill="1" applyBorder="1" applyAlignment="1">
      <alignment horizontal="center" vertical="center"/>
    </xf>
    <xf numFmtId="174" fontId="4" fillId="0" borderId="1" xfId="1" applyNumberFormat="1" applyFont="1" applyFill="1" applyBorder="1" applyAlignment="1">
      <alignment horizontal="center" vertical="center"/>
    </xf>
    <xf numFmtId="49" fontId="14" fillId="0" borderId="1" xfId="0" applyNumberFormat="1" applyFont="1" applyBorder="1" applyAlignment="1">
      <alignment vertical="top" wrapText="1"/>
    </xf>
    <xf numFmtId="167" fontId="9" fillId="3" borderId="1" xfId="1" applyNumberFormat="1" applyFont="1" applyFill="1" applyBorder="1" applyAlignment="1">
      <alignment vertical="center"/>
    </xf>
    <xf numFmtId="170" fontId="2" fillId="0" borderId="1" xfId="1" applyNumberFormat="1" applyFont="1" applyFill="1" applyBorder="1" applyAlignment="1">
      <alignment horizontal="center" vertical="center" wrapText="1"/>
    </xf>
    <xf numFmtId="165" fontId="15" fillId="0" borderId="1" xfId="0" applyNumberFormat="1" applyFont="1" applyFill="1" applyBorder="1" applyAlignment="1">
      <alignment vertical="center" wrapText="1"/>
    </xf>
    <xf numFmtId="1" fontId="20" fillId="0" borderId="1" xfId="0" applyNumberFormat="1" applyFont="1" applyFill="1" applyBorder="1" applyAlignment="1">
      <alignment horizontal="center" vertical="center" wrapText="1"/>
    </xf>
    <xf numFmtId="167" fontId="2" fillId="0" borderId="1" xfId="1" applyNumberFormat="1" applyFont="1" applyFill="1" applyBorder="1" applyAlignment="1">
      <alignment horizontal="center" vertical="center"/>
    </xf>
    <xf numFmtId="169" fontId="2" fillId="0" borderId="1" xfId="1" applyNumberFormat="1" applyFont="1" applyFill="1" applyBorder="1" applyAlignment="1">
      <alignment horizontal="center" vertical="center" wrapText="1"/>
    </xf>
    <xf numFmtId="0" fontId="8" fillId="0" borderId="0" xfId="0" applyFont="1" applyFill="1"/>
    <xf numFmtId="0" fontId="17" fillId="0" borderId="0" xfId="0" applyFont="1" applyFill="1"/>
    <xf numFmtId="1" fontId="15" fillId="0" borderId="1" xfId="0" applyNumberFormat="1" applyFont="1" applyFill="1" applyBorder="1" applyAlignment="1">
      <alignment horizontal="center" vertical="center" wrapText="1"/>
    </xf>
    <xf numFmtId="171" fontId="7" fillId="0" borderId="1" xfId="1" applyNumberFormat="1" applyFont="1" applyFill="1" applyBorder="1" applyAlignment="1">
      <alignment vertical="center"/>
    </xf>
    <xf numFmtId="172" fontId="21" fillId="0" borderId="1" xfId="1" applyNumberFormat="1" applyFont="1" applyFill="1" applyBorder="1" applyAlignment="1">
      <alignment vertical="center"/>
    </xf>
    <xf numFmtId="1" fontId="21" fillId="0" borderId="1" xfId="1" applyNumberFormat="1" applyFont="1" applyFill="1" applyBorder="1" applyAlignment="1">
      <alignment vertical="center"/>
    </xf>
    <xf numFmtId="173" fontId="7" fillId="0" borderId="1" xfId="1" applyNumberFormat="1" applyFont="1" applyFill="1" applyBorder="1" applyAlignment="1">
      <alignment horizontal="center" vertical="center"/>
    </xf>
    <xf numFmtId="1" fontId="38" fillId="0" borderId="1" xfId="0" applyNumberFormat="1" applyFont="1" applyFill="1" applyBorder="1" applyAlignment="1">
      <alignment horizontal="center" vertical="center" wrapText="1"/>
    </xf>
    <xf numFmtId="171" fontId="21" fillId="0" borderId="1" xfId="1" applyNumberFormat="1" applyFont="1" applyFill="1" applyBorder="1" applyAlignment="1">
      <alignment vertical="center"/>
    </xf>
    <xf numFmtId="4" fontId="25" fillId="0" borderId="1" xfId="0" applyNumberFormat="1" applyFont="1" applyFill="1" applyBorder="1" applyAlignment="1">
      <alignment horizontal="center" vertical="center" wrapText="1"/>
    </xf>
    <xf numFmtId="165" fontId="21" fillId="0" borderId="1" xfId="12" applyNumberFormat="1" applyFont="1" applyFill="1" applyBorder="1" applyAlignment="1">
      <alignment vertical="center"/>
    </xf>
    <xf numFmtId="1" fontId="21" fillId="0" borderId="1" xfId="12" applyNumberFormat="1" applyFont="1" applyFill="1" applyBorder="1" applyAlignment="1">
      <alignment vertical="center"/>
    </xf>
    <xf numFmtId="2" fontId="21" fillId="0" borderId="1" xfId="12" applyNumberFormat="1" applyFont="1" applyFill="1" applyBorder="1" applyAlignment="1">
      <alignment vertical="center"/>
    </xf>
    <xf numFmtId="3" fontId="7" fillId="0" borderId="1" xfId="12" applyNumberFormat="1" applyFont="1" applyFill="1" applyBorder="1" applyAlignment="1">
      <alignment horizontal="center" vertical="center"/>
    </xf>
    <xf numFmtId="3" fontId="38" fillId="0" borderId="1" xfId="0" applyNumberFormat="1" applyFont="1" applyFill="1" applyBorder="1" applyAlignment="1">
      <alignment horizontal="center" vertical="center" wrapText="1"/>
    </xf>
    <xf numFmtId="3" fontId="21" fillId="0" borderId="1" xfId="12" applyNumberFormat="1" applyFont="1" applyFill="1" applyBorder="1" applyAlignment="1">
      <alignment vertical="center"/>
    </xf>
    <xf numFmtId="170" fontId="7" fillId="0" borderId="1" xfId="1" applyNumberFormat="1" applyFont="1" applyFill="1" applyBorder="1" applyAlignment="1">
      <alignment horizontal="center" vertical="center" wrapText="1"/>
    </xf>
    <xf numFmtId="167" fontId="7" fillId="0" borderId="1" xfId="1" applyNumberFormat="1" applyFont="1" applyFill="1" applyBorder="1" applyAlignment="1">
      <alignment horizontal="center" vertical="center"/>
    </xf>
    <xf numFmtId="167" fontId="21" fillId="0" borderId="1" xfId="1" applyNumberFormat="1" applyFont="1" applyFill="1" applyBorder="1" applyAlignment="1">
      <alignment vertical="center"/>
    </xf>
    <xf numFmtId="3" fontId="21" fillId="0" borderId="1" xfId="0" applyNumberFormat="1" applyFont="1" applyFill="1" applyBorder="1" applyAlignment="1">
      <alignment horizontal="center" vertical="center" wrapText="1"/>
    </xf>
    <xf numFmtId="167" fontId="38" fillId="0" borderId="1" xfId="1" applyNumberFormat="1" applyFont="1" applyFill="1" applyBorder="1" applyAlignment="1">
      <alignment horizontal="center" vertical="center" wrapText="1"/>
    </xf>
    <xf numFmtId="170" fontId="21" fillId="0" borderId="1" xfId="1" applyNumberFormat="1" applyFont="1" applyFill="1" applyBorder="1" applyAlignment="1">
      <alignment vertical="center"/>
    </xf>
    <xf numFmtId="167" fontId="7" fillId="0" borderId="1" xfId="1" applyNumberFormat="1" applyFont="1" applyFill="1" applyBorder="1" applyAlignment="1">
      <alignment vertical="center"/>
    </xf>
    <xf numFmtId="169" fontId="7" fillId="0" borderId="1" xfId="1" applyNumberFormat="1" applyFont="1" applyFill="1" applyBorder="1" applyAlignment="1">
      <alignment horizontal="center" vertical="center" wrapText="1"/>
    </xf>
    <xf numFmtId="167" fontId="7" fillId="0" borderId="1" xfId="1" applyNumberFormat="1" applyFont="1" applyFill="1" applyBorder="1" applyAlignment="1">
      <alignment horizontal="center" vertical="center" wrapText="1"/>
    </xf>
    <xf numFmtId="0" fontId="39" fillId="0" borderId="0" xfId="0" applyFont="1" applyFill="1"/>
    <xf numFmtId="0" fontId="40" fillId="0" borderId="0" xfId="0" applyFont="1" applyFill="1"/>
    <xf numFmtId="171" fontId="7" fillId="0" borderId="1" xfId="12" applyNumberFormat="1" applyFont="1" applyFill="1" applyBorder="1" applyAlignment="1">
      <alignment vertical="center"/>
    </xf>
    <xf numFmtId="172" fontId="21" fillId="0" borderId="1" xfId="12" applyNumberFormat="1" applyFont="1" applyFill="1" applyBorder="1" applyAlignment="1">
      <alignment vertical="center"/>
    </xf>
    <xf numFmtId="2" fontId="7" fillId="0" borderId="1" xfId="12" applyNumberFormat="1" applyFont="1" applyFill="1" applyBorder="1" applyAlignment="1">
      <alignment vertical="center"/>
    </xf>
    <xf numFmtId="167" fontId="25" fillId="0" borderId="1" xfId="1" applyNumberFormat="1" applyFont="1" applyFill="1" applyBorder="1" applyAlignment="1">
      <alignment horizontal="center" vertical="center" wrapText="1"/>
    </xf>
    <xf numFmtId="165" fontId="21" fillId="0" borderId="1" xfId="1" applyNumberFormat="1" applyFont="1" applyFill="1" applyBorder="1" applyAlignment="1">
      <alignment vertical="center"/>
    </xf>
    <xf numFmtId="2" fontId="21" fillId="0" borderId="1" xfId="1" applyNumberFormat="1" applyFont="1" applyFill="1" applyBorder="1" applyAlignment="1">
      <alignment vertical="center"/>
    </xf>
    <xf numFmtId="167" fontId="21" fillId="0" borderId="1" xfId="1" applyNumberFormat="1" applyFont="1" applyFill="1" applyBorder="1" applyAlignment="1">
      <alignment horizontal="center" vertical="center" wrapText="1"/>
    </xf>
    <xf numFmtId="172" fontId="7" fillId="0" borderId="1" xfId="1" applyNumberFormat="1" applyFont="1" applyFill="1" applyBorder="1" applyAlignment="1">
      <alignment vertical="center"/>
    </xf>
    <xf numFmtId="1" fontId="7" fillId="0" borderId="1" xfId="1" applyNumberFormat="1" applyFont="1" applyFill="1" applyBorder="1" applyAlignment="1">
      <alignment vertical="center"/>
    </xf>
    <xf numFmtId="3" fontId="7" fillId="0" borderId="1" xfId="0" applyNumberFormat="1" applyFont="1" applyFill="1" applyBorder="1" applyAlignment="1">
      <alignment horizontal="center" vertical="center" wrapText="1"/>
    </xf>
    <xf numFmtId="3" fontId="7" fillId="0" borderId="1" xfId="12" applyNumberFormat="1" applyFont="1" applyFill="1" applyBorder="1" applyAlignment="1">
      <alignment vertical="center"/>
    </xf>
    <xf numFmtId="165" fontId="15" fillId="0" borderId="1" xfId="0" applyNumberFormat="1" applyFont="1" applyFill="1" applyBorder="1" applyAlignment="1">
      <alignment horizontal="center" vertical="center" wrapText="1"/>
    </xf>
    <xf numFmtId="165" fontId="25" fillId="0" borderId="1" xfId="0" applyNumberFormat="1" applyFont="1" applyFill="1" applyBorder="1" applyAlignment="1">
      <alignment horizontal="center" vertical="center" wrapText="1"/>
    </xf>
    <xf numFmtId="170" fontId="7" fillId="0" borderId="1" xfId="1" applyNumberFormat="1" applyFont="1" applyFill="1" applyBorder="1" applyAlignment="1">
      <alignment vertical="center" wrapText="1"/>
    </xf>
    <xf numFmtId="3" fontId="7" fillId="0" borderId="1" xfId="12" applyNumberFormat="1" applyFont="1" applyFill="1" applyBorder="1" applyAlignment="1">
      <alignment vertical="center" wrapText="1"/>
    </xf>
    <xf numFmtId="3" fontId="7" fillId="0" borderId="1" xfId="12" applyNumberFormat="1" applyFont="1" applyFill="1" applyBorder="1" applyAlignment="1">
      <alignment horizontal="center" vertical="center" wrapText="1"/>
    </xf>
    <xf numFmtId="167" fontId="7" fillId="0" borderId="1" xfId="1" applyNumberFormat="1" applyFont="1" applyFill="1" applyBorder="1" applyAlignment="1">
      <alignment vertical="center" wrapText="1"/>
    </xf>
    <xf numFmtId="165" fontId="14" fillId="0" borderId="1" xfId="0" applyNumberFormat="1" applyFont="1" applyFill="1" applyBorder="1" applyAlignment="1">
      <alignment horizontal="center" vertical="center" wrapText="1"/>
    </xf>
    <xf numFmtId="165" fontId="14" fillId="0" borderId="1" xfId="0" applyNumberFormat="1" applyFont="1" applyFill="1" applyBorder="1" applyAlignment="1">
      <alignment vertical="center" wrapText="1"/>
    </xf>
    <xf numFmtId="1" fontId="16" fillId="0" borderId="1" xfId="0" applyNumberFormat="1" applyFont="1" applyFill="1" applyBorder="1" applyAlignment="1">
      <alignment horizontal="center" vertical="center" wrapText="1"/>
    </xf>
    <xf numFmtId="1" fontId="2" fillId="0" borderId="1" xfId="0" applyNumberFormat="1" applyFont="1" applyFill="1" applyBorder="1" applyAlignment="1">
      <alignment horizontal="center" vertical="center" wrapText="1"/>
    </xf>
    <xf numFmtId="1" fontId="7" fillId="0" borderId="1" xfId="0" applyNumberFormat="1" applyFont="1" applyFill="1" applyBorder="1" applyAlignment="1">
      <alignment horizontal="center" vertical="center" wrapText="1"/>
    </xf>
    <xf numFmtId="165" fontId="7" fillId="0" borderId="1" xfId="0" applyNumberFormat="1" applyFont="1" applyFill="1" applyBorder="1" applyAlignment="1">
      <alignment horizontal="center" vertical="center" wrapText="1"/>
    </xf>
    <xf numFmtId="169" fontId="7" fillId="0" borderId="1" xfId="1" applyNumberFormat="1" applyFont="1" applyFill="1" applyBorder="1" applyAlignment="1">
      <alignment vertical="center"/>
    </xf>
    <xf numFmtId="165" fontId="18" fillId="0" borderId="1" xfId="0" applyNumberFormat="1" applyFont="1" applyFill="1" applyBorder="1" applyAlignment="1">
      <alignment horizontal="center" vertical="center" wrapText="1"/>
    </xf>
    <xf numFmtId="165" fontId="18" fillId="0" borderId="1" xfId="0" applyNumberFormat="1" applyFont="1" applyFill="1" applyBorder="1" applyAlignment="1">
      <alignment vertical="center" wrapText="1"/>
    </xf>
    <xf numFmtId="173" fontId="7" fillId="0" borderId="1" xfId="1" applyNumberFormat="1" applyFont="1" applyFill="1" applyBorder="1" applyAlignment="1">
      <alignment horizontal="center" vertical="center" wrapText="1"/>
    </xf>
    <xf numFmtId="1" fontId="25" fillId="0" borderId="1" xfId="0" applyNumberFormat="1" applyFont="1" applyFill="1" applyBorder="1" applyAlignment="1">
      <alignment horizontal="center" vertical="center" wrapText="1"/>
    </xf>
    <xf numFmtId="3" fontId="25" fillId="0" borderId="1" xfId="0" applyNumberFormat="1" applyFont="1" applyFill="1" applyBorder="1" applyAlignment="1">
      <alignment horizontal="center" vertical="center" wrapText="1"/>
    </xf>
    <xf numFmtId="169" fontId="25" fillId="0" borderId="1" xfId="1" applyNumberFormat="1" applyFont="1" applyFill="1" applyBorder="1" applyAlignment="1">
      <alignment vertical="center" wrapText="1"/>
    </xf>
    <xf numFmtId="172" fontId="25" fillId="0" borderId="1" xfId="1" applyNumberFormat="1" applyFont="1" applyFill="1" applyBorder="1" applyAlignment="1">
      <alignment vertical="center" wrapText="1"/>
    </xf>
    <xf numFmtId="1" fontId="25" fillId="0" borderId="1" xfId="1" applyNumberFormat="1" applyFont="1" applyFill="1" applyBorder="1" applyAlignment="1">
      <alignment vertical="center" wrapText="1"/>
    </xf>
    <xf numFmtId="169" fontId="25" fillId="0" borderId="1" xfId="12" applyNumberFormat="1" applyFont="1" applyFill="1" applyBorder="1" applyAlignment="1">
      <alignment vertical="center" wrapText="1"/>
    </xf>
    <xf numFmtId="172" fontId="25" fillId="0" borderId="1" xfId="12" applyNumberFormat="1" applyFont="1" applyFill="1" applyBorder="1" applyAlignment="1">
      <alignment vertical="center" wrapText="1"/>
    </xf>
    <xf numFmtId="2" fontId="25" fillId="0" borderId="1" xfId="12" applyNumberFormat="1" applyFont="1" applyFill="1" applyBorder="1" applyAlignment="1">
      <alignment vertical="center" wrapText="1"/>
    </xf>
    <xf numFmtId="1" fontId="25" fillId="0" borderId="1" xfId="12" applyNumberFormat="1" applyFont="1" applyFill="1" applyBorder="1" applyAlignment="1">
      <alignment vertical="center" wrapText="1"/>
    </xf>
    <xf numFmtId="3" fontId="25" fillId="0" borderId="1" xfId="12" applyNumberFormat="1" applyFont="1" applyFill="1" applyBorder="1" applyAlignment="1">
      <alignment vertical="center" wrapText="1"/>
    </xf>
    <xf numFmtId="1" fontId="19" fillId="0" borderId="1" xfId="0" applyNumberFormat="1" applyFont="1" applyFill="1" applyBorder="1" applyAlignment="1">
      <alignment horizontal="center" vertical="center" wrapText="1"/>
    </xf>
    <xf numFmtId="165" fontId="19" fillId="0" borderId="1" xfId="0" applyNumberFormat="1" applyFont="1" applyFill="1" applyBorder="1" applyAlignment="1">
      <alignment vertical="center" wrapText="1"/>
    </xf>
    <xf numFmtId="1" fontId="21" fillId="0" borderId="1" xfId="0" applyNumberFormat="1" applyFont="1" applyFill="1" applyBorder="1" applyAlignment="1">
      <alignment horizontal="center" vertical="center" wrapText="1"/>
    </xf>
    <xf numFmtId="3" fontId="7" fillId="0" borderId="1" xfId="0" applyNumberFormat="1" applyFont="1" applyFill="1" applyBorder="1" applyAlignment="1">
      <alignment horizontal="right" vertical="center" wrapText="1"/>
    </xf>
    <xf numFmtId="167" fontId="25" fillId="0" borderId="1" xfId="1" applyNumberFormat="1" applyFont="1" applyFill="1" applyBorder="1" applyAlignment="1">
      <alignment vertical="center" wrapText="1"/>
    </xf>
    <xf numFmtId="167" fontId="2" fillId="0" borderId="1" xfId="1" applyNumberFormat="1" applyFont="1" applyBorder="1"/>
    <xf numFmtId="177" fontId="4" fillId="0" borderId="1" xfId="1" applyNumberFormat="1" applyFont="1" applyFill="1" applyBorder="1" applyAlignment="1">
      <alignment vertical="center"/>
    </xf>
    <xf numFmtId="43" fontId="4" fillId="0" borderId="1" xfId="1" applyNumberFormat="1" applyFont="1" applyFill="1" applyBorder="1" applyAlignment="1">
      <alignment vertical="center"/>
    </xf>
    <xf numFmtId="43" fontId="25" fillId="5" borderId="1" xfId="1" applyNumberFormat="1" applyFont="1" applyFill="1" applyBorder="1" applyAlignment="1">
      <alignment horizontal="center" vertical="center" wrapText="1"/>
    </xf>
    <xf numFmtId="174" fontId="20" fillId="0" borderId="1" xfId="1" applyNumberFormat="1" applyFont="1" applyFill="1" applyBorder="1" applyAlignment="1">
      <alignment horizontal="center" vertical="center" wrapText="1"/>
    </xf>
    <xf numFmtId="0" fontId="28" fillId="0" borderId="1" xfId="0" applyFont="1" applyFill="1" applyBorder="1" applyAlignment="1">
      <alignment vertical="top" wrapText="1"/>
    </xf>
    <xf numFmtId="169" fontId="2" fillId="0" borderId="0" xfId="2" applyNumberFormat="1" applyFont="1" applyFill="1" applyBorder="1" applyAlignment="1">
      <alignment horizontal="center" vertical="top" wrapText="1"/>
    </xf>
    <xf numFmtId="170" fontId="2" fillId="0" borderId="1" xfId="2" applyNumberFormat="1" applyFont="1" applyFill="1" applyBorder="1" applyAlignment="1">
      <alignment horizontal="center" vertical="top" wrapText="1"/>
    </xf>
    <xf numFmtId="167" fontId="2" fillId="0" borderId="1" xfId="1" applyNumberFormat="1" applyFont="1" applyFill="1" applyBorder="1" applyAlignment="1">
      <alignment horizontal="right" wrapText="1"/>
    </xf>
    <xf numFmtId="0" fontId="9" fillId="0" borderId="1" xfId="9" applyFont="1" applyFill="1" applyBorder="1" applyAlignment="1">
      <alignment horizontal="right" wrapText="1"/>
    </xf>
    <xf numFmtId="1" fontId="9" fillId="0" borderId="1" xfId="9" applyNumberFormat="1" applyFont="1" applyFill="1" applyBorder="1" applyAlignment="1">
      <alignment horizontal="right" wrapText="1"/>
    </xf>
    <xf numFmtId="37" fontId="30" fillId="6" borderId="1" xfId="1" applyNumberFormat="1" applyFont="1" applyFill="1" applyBorder="1"/>
    <xf numFmtId="43" fontId="7" fillId="0" borderId="1" xfId="1" applyNumberFormat="1" applyFont="1" applyFill="1" applyBorder="1" applyAlignment="1">
      <alignment horizontal="center" vertical="center" wrapText="1"/>
    </xf>
    <xf numFmtId="170" fontId="2" fillId="0" borderId="1" xfId="1" applyNumberFormat="1" applyFont="1" applyFill="1" applyBorder="1" applyAlignment="1">
      <alignment vertical="center"/>
    </xf>
    <xf numFmtId="180" fontId="10" fillId="0" borderId="1" xfId="2" applyNumberFormat="1" applyFont="1" applyBorder="1" applyAlignment="1">
      <alignment horizontal="right" vertical="center"/>
    </xf>
    <xf numFmtId="179" fontId="30" fillId="0" borderId="0" xfId="1" applyNumberFormat="1" applyFont="1" applyFill="1" applyBorder="1"/>
    <xf numFmtId="180" fontId="30" fillId="9" borderId="1" xfId="0" applyNumberFormat="1" applyFont="1" applyFill="1" applyBorder="1" applyAlignment="1">
      <alignment horizontal="right" vertical="center"/>
    </xf>
    <xf numFmtId="178" fontId="30" fillId="0" borderId="0" xfId="1" applyNumberFormat="1" applyFont="1"/>
    <xf numFmtId="181" fontId="30" fillId="0" borderId="0" xfId="1" applyNumberFormat="1" applyFont="1"/>
    <xf numFmtId="179" fontId="30" fillId="0" borderId="0" xfId="1" applyNumberFormat="1" applyFont="1"/>
    <xf numFmtId="182" fontId="30" fillId="0" borderId="0" xfId="1" applyNumberFormat="1" applyFont="1"/>
    <xf numFmtId="43" fontId="8" fillId="0" borderId="0" xfId="0" applyNumberFormat="1" applyFont="1"/>
    <xf numFmtId="0" fontId="4" fillId="0" borderId="4" xfId="0" applyFont="1" applyBorder="1" applyAlignment="1">
      <alignment horizontal="center" vertical="center" wrapText="1"/>
    </xf>
    <xf numFmtId="0" fontId="4" fillId="0" borderId="6" xfId="0" applyFont="1" applyBorder="1" applyAlignment="1">
      <alignment horizontal="center" vertical="center" wrapText="1"/>
    </xf>
    <xf numFmtId="0" fontId="4" fillId="0" borderId="1" xfId="0" applyFont="1" applyBorder="1" applyAlignment="1">
      <alignment horizontal="center" vertical="center" wrapText="1"/>
    </xf>
    <xf numFmtId="0" fontId="4" fillId="0" borderId="7" xfId="0" applyFont="1" applyBorder="1" applyAlignment="1">
      <alignment horizontal="center" vertical="center" wrapText="1"/>
    </xf>
    <xf numFmtId="0" fontId="2" fillId="8" borderId="1" xfId="7" applyFont="1" applyFill="1" applyBorder="1" applyAlignment="1">
      <alignment horizontal="center" vertical="center"/>
    </xf>
    <xf numFmtId="0" fontId="30" fillId="13" borderId="4" xfId="0" applyFont="1" applyFill="1" applyBorder="1" applyAlignment="1">
      <alignment horizontal="left" vertical="center"/>
    </xf>
    <xf numFmtId="0" fontId="30" fillId="13" borderId="6" xfId="0" applyFont="1" applyFill="1" applyBorder="1" applyAlignment="1">
      <alignment horizontal="left" vertical="center"/>
    </xf>
    <xf numFmtId="0" fontId="30" fillId="0" borderId="1" xfId="0" applyFont="1" applyBorder="1" applyAlignment="1">
      <alignment horizontal="center" vertical="center"/>
    </xf>
    <xf numFmtId="49" fontId="14" fillId="0" borderId="2" xfId="0" applyNumberFormat="1" applyFont="1" applyBorder="1" applyAlignment="1">
      <alignment horizontal="center" vertical="top" wrapText="1"/>
    </xf>
    <xf numFmtId="49" fontId="14" fillId="0" borderId="3" xfId="0" applyNumberFormat="1" applyFont="1" applyBorder="1" applyAlignment="1">
      <alignment horizontal="center" vertical="top" wrapText="1"/>
    </xf>
    <xf numFmtId="49" fontId="2" fillId="0" borderId="1" xfId="0" applyNumberFormat="1" applyFont="1" applyFill="1" applyBorder="1" applyAlignment="1">
      <alignment horizontal="center" vertical="center" wrapText="1"/>
    </xf>
    <xf numFmtId="49" fontId="2" fillId="0" borderId="4" xfId="0" applyNumberFormat="1" applyFont="1" applyBorder="1" applyAlignment="1">
      <alignment horizontal="center" vertical="center" wrapText="1"/>
    </xf>
    <xf numFmtId="49" fontId="2" fillId="0" borderId="7" xfId="0" applyNumberFormat="1" applyFont="1" applyBorder="1" applyAlignment="1">
      <alignment horizontal="center" vertical="center" wrapText="1"/>
    </xf>
    <xf numFmtId="49" fontId="2" fillId="0" borderId="6" xfId="0" applyNumberFormat="1" applyFont="1" applyBorder="1" applyAlignment="1">
      <alignment horizontal="center" vertical="center" wrapText="1"/>
    </xf>
    <xf numFmtId="49" fontId="2" fillId="0" borderId="1" xfId="0" applyNumberFormat="1" applyFont="1" applyBorder="1" applyAlignment="1">
      <alignment horizontal="center" vertical="center" wrapText="1"/>
    </xf>
    <xf numFmtId="0" fontId="12" fillId="0" borderId="0" xfId="0" applyFont="1" applyAlignment="1">
      <alignment horizontal="center"/>
    </xf>
    <xf numFmtId="49" fontId="14" fillId="0" borderId="2" xfId="0" applyNumberFormat="1" applyFont="1" applyBorder="1" applyAlignment="1">
      <alignment horizontal="center" vertical="center" wrapText="1"/>
    </xf>
    <xf numFmtId="49" fontId="14" fillId="0" borderId="3" xfId="0" applyNumberFormat="1" applyFont="1" applyBorder="1" applyAlignment="1">
      <alignment horizontal="center" vertical="center" wrapText="1"/>
    </xf>
    <xf numFmtId="0" fontId="10" fillId="0" borderId="4" xfId="0" applyFont="1" applyBorder="1" applyAlignment="1">
      <alignment horizontal="center" vertical="center" wrapText="1"/>
    </xf>
    <xf numFmtId="0" fontId="10" fillId="0" borderId="6" xfId="0" applyFont="1" applyBorder="1" applyAlignment="1">
      <alignment horizontal="center" vertical="center" wrapText="1"/>
    </xf>
    <xf numFmtId="49" fontId="28" fillId="0" borderId="1" xfId="0" applyNumberFormat="1" applyFont="1" applyBorder="1" applyAlignment="1">
      <alignment horizontal="center" vertical="top" wrapText="1"/>
    </xf>
    <xf numFmtId="0" fontId="28" fillId="0" borderId="1" xfId="0" applyFont="1" applyBorder="1" applyAlignment="1">
      <alignment horizontal="center" vertical="top" wrapText="1"/>
    </xf>
    <xf numFmtId="49" fontId="28" fillId="0" borderId="4" xfId="0" applyNumberFormat="1" applyFont="1" applyBorder="1" applyAlignment="1">
      <alignment horizontal="center" vertical="top" wrapText="1"/>
    </xf>
    <xf numFmtId="49" fontId="28" fillId="0" borderId="7" xfId="0" applyNumberFormat="1" applyFont="1" applyBorder="1" applyAlignment="1">
      <alignment horizontal="center" vertical="top" wrapText="1"/>
    </xf>
    <xf numFmtId="49" fontId="28" fillId="0" borderId="6" xfId="0" applyNumberFormat="1" applyFont="1" applyBorder="1" applyAlignment="1">
      <alignment horizontal="center" vertical="top" wrapText="1"/>
    </xf>
    <xf numFmtId="2" fontId="4" fillId="13" borderId="1" xfId="0" applyNumberFormat="1" applyFont="1" applyFill="1" applyBorder="1" applyAlignment="1">
      <alignment horizontal="center" vertical="top"/>
    </xf>
    <xf numFmtId="0" fontId="7" fillId="0" borderId="8" xfId="0" applyFont="1" applyBorder="1" applyAlignment="1">
      <alignment horizontal="center" vertical="top"/>
    </xf>
    <xf numFmtId="49" fontId="2" fillId="13" borderId="1" xfId="0" applyNumberFormat="1" applyFont="1" applyFill="1" applyBorder="1" applyAlignment="1">
      <alignment horizontal="center" vertical="top" wrapText="1"/>
    </xf>
    <xf numFmtId="183" fontId="28" fillId="0" borderId="0" xfId="0" applyNumberFormat="1" applyFont="1" applyAlignment="1">
      <alignment vertical="top"/>
    </xf>
  </cellXfs>
  <cellStyles count="13">
    <cellStyle name="Comma" xfId="1" builtinId="3"/>
    <cellStyle name="Comma 2" xfId="2"/>
    <cellStyle name="Comma 3" xfId="3"/>
    <cellStyle name="Comma 4" xfId="4"/>
    <cellStyle name="Comma 5" xfId="12"/>
    <cellStyle name="Normal" xfId="0" builtinId="0"/>
    <cellStyle name="Normal 2" xfId="5"/>
    <cellStyle name="Normal 2 2" xfId="11"/>
    <cellStyle name="Normal 3" xfId="6"/>
    <cellStyle name="Normal_2017-pahanj" xfId="7"/>
    <cellStyle name="Normal_Sheet1" xfId="8"/>
    <cellStyle name="Normal_Sheet1_1" xfId="9"/>
    <cellStyle name="Percent" xfId="10"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oneCellAnchor>
    <xdr:from>
      <xdr:col>0</xdr:col>
      <xdr:colOff>291466</xdr:colOff>
      <xdr:row>0</xdr:row>
      <xdr:rowOff>150493</xdr:rowOff>
    </xdr:from>
    <xdr:ext cx="6191549" cy="608628"/>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291466" y="150493"/>
          <a:ext cx="6191549" cy="608628"/>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marL="0" marR="0" indent="0" algn="ctr" defTabSz="914400" eaLnBrk="1" fontAlgn="auto" latinLnBrk="0" hangingPunct="1">
            <a:lnSpc>
              <a:spcPct val="100000"/>
            </a:lnSpc>
            <a:spcBef>
              <a:spcPts val="0"/>
            </a:spcBef>
            <a:spcAft>
              <a:spcPts val="0"/>
            </a:spcAft>
            <a:buClrTx/>
            <a:buSzTx/>
            <a:buFontTx/>
            <a:buNone/>
            <a:tabLst/>
            <a:defRPr/>
          </a:pPr>
          <a:r>
            <a:rPr lang="hy-AM" sz="1000">
              <a:solidFill>
                <a:schemeClr val="tx1"/>
              </a:solidFill>
              <a:effectLst/>
              <a:latin typeface="GHEA Grapalat" pitchFamily="50" charset="0"/>
              <a:ea typeface="+mn-ea"/>
              <a:cs typeface="+mn-cs"/>
            </a:rPr>
            <a:t>Կենսաթոշակառուների հաշվառման միասնական ՏՀ-ից</a:t>
          </a:r>
          <a:r>
            <a:rPr lang="en-GB" sz="1000">
              <a:solidFill>
                <a:schemeClr val="tx1"/>
              </a:solidFill>
              <a:effectLst/>
              <a:latin typeface="GHEA Grapalat" pitchFamily="50" charset="0"/>
              <a:ea typeface="+mn-ea"/>
              <a:cs typeface="+mn-cs"/>
            </a:rPr>
            <a:t> </a:t>
          </a:r>
          <a:r>
            <a:rPr lang="en-GB" sz="1000" b="1">
              <a:solidFill>
                <a:schemeClr val="tx1"/>
              </a:solidFill>
              <a:effectLst/>
              <a:latin typeface="GHEA Grapalat" pitchFamily="50" charset="0"/>
              <a:ea typeface="+mn-ea"/>
              <a:cs typeface="+mn-cs"/>
            </a:rPr>
            <a:t>01.04.2021թ.</a:t>
          </a:r>
          <a:r>
            <a:rPr lang="en-GB" sz="1000" baseline="0">
              <a:solidFill>
                <a:schemeClr val="tx1"/>
              </a:solidFill>
              <a:effectLst/>
              <a:latin typeface="GHEA Grapalat" pitchFamily="50" charset="0"/>
              <a:ea typeface="+mn-ea"/>
              <a:cs typeface="+mn-cs"/>
            </a:rPr>
            <a:t> դրությամբ կերակրողին կորցնելու դեպքում աշխատանքային կենսաթոշակների թվաքանակի, գումարային ստաժի մասին ըստ ստաժի տարիների</a:t>
          </a:r>
          <a:endParaRPr lang="en-US" sz="1000">
            <a:effectLst/>
            <a:latin typeface="GHEA Grapalat" pitchFamily="50" charset="0"/>
          </a:endParaRP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2</xdr:col>
      <xdr:colOff>0</xdr:colOff>
      <xdr:row>1</xdr:row>
      <xdr:rowOff>0</xdr:rowOff>
    </xdr:from>
    <xdr:ext cx="9070332" cy="453779"/>
    <xdr:sp macro="" textlink="">
      <xdr:nvSpPr>
        <xdr:cNvPr id="4" name="TextBox 3">
          <a:extLst>
            <a:ext uri="{FF2B5EF4-FFF2-40B4-BE49-F238E27FC236}">
              <a16:creationId xmlns:a16="http://schemas.microsoft.com/office/drawing/2014/main" id="{00000000-0008-0000-0200-000004000000}"/>
            </a:ext>
          </a:extLst>
        </xdr:cNvPr>
        <xdr:cNvSpPr txBox="1"/>
      </xdr:nvSpPr>
      <xdr:spPr>
        <a:xfrm>
          <a:off x="1630680" y="182880"/>
          <a:ext cx="9060180" cy="453779"/>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lang="hy-AM" sz="1000">
              <a:latin typeface="GHEA Grapalat" pitchFamily="50" charset="0"/>
            </a:rPr>
            <a:t>Կենսաթոշակառուների հաշվառման միասնական ՏՀ-ից</a:t>
          </a:r>
          <a:r>
            <a:rPr lang="en-GB" sz="1000">
              <a:latin typeface="GHEA Grapalat" pitchFamily="50" charset="0"/>
            </a:rPr>
            <a:t> </a:t>
          </a:r>
          <a:r>
            <a:rPr lang="en-GB" sz="1000" b="1">
              <a:latin typeface="GHEA Grapalat" pitchFamily="50" charset="0"/>
            </a:rPr>
            <a:t>01.04.2021թ.</a:t>
          </a:r>
          <a:r>
            <a:rPr lang="en-GB" sz="1000" baseline="0">
              <a:latin typeface="GHEA Grapalat" pitchFamily="50" charset="0"/>
            </a:rPr>
            <a:t> դրությամբ աշխատանքային կենսաթոշակների թվաքանակի, գումարային ստաժի մասին ըստ ստաժի տարիների </a:t>
          </a:r>
          <a:r>
            <a:rPr lang="en-GB" sz="1000">
              <a:solidFill>
                <a:schemeClr val="tx1"/>
              </a:solidFill>
              <a:effectLst/>
              <a:latin typeface="GHEA Grapalat" pitchFamily="50" charset="0"/>
              <a:ea typeface="+mn-ea"/>
              <a:cs typeface="+mn-cs"/>
            </a:rPr>
            <a:t>(բացի</a:t>
          </a:r>
          <a:r>
            <a:rPr lang="en-GB" sz="1000" baseline="0">
              <a:solidFill>
                <a:schemeClr val="tx1"/>
              </a:solidFill>
              <a:effectLst/>
              <a:latin typeface="GHEA Grapalat" pitchFamily="50" charset="0"/>
              <a:ea typeface="+mn-ea"/>
              <a:cs typeface="+mn-cs"/>
            </a:rPr>
            <a:t> կերակրողին կորցնելու դեպքում</a:t>
          </a:r>
          <a:r>
            <a:rPr lang="en-GB" sz="1000">
              <a:solidFill>
                <a:schemeClr val="tx1"/>
              </a:solidFill>
              <a:effectLst/>
              <a:latin typeface="GHEA Grapalat" pitchFamily="50" charset="0"/>
              <a:ea typeface="+mn-ea"/>
              <a:cs typeface="+mn-cs"/>
            </a:rPr>
            <a:t>)</a:t>
          </a:r>
          <a:r>
            <a:rPr lang="en-GB" sz="1100" baseline="0">
              <a:solidFill>
                <a:schemeClr val="tx1"/>
              </a:solidFill>
              <a:effectLst/>
              <a:latin typeface="+mn-lt"/>
              <a:ea typeface="+mn-ea"/>
              <a:cs typeface="+mn-cs"/>
            </a:rPr>
            <a:t> </a:t>
          </a:r>
          <a:endParaRPr lang="en-US" sz="1000">
            <a:latin typeface="GHEA Grapalat" pitchFamily="50" charset="0"/>
          </a:endParaRP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1</xdr:col>
      <xdr:colOff>0</xdr:colOff>
      <xdr:row>1</xdr:row>
      <xdr:rowOff>0</xdr:rowOff>
    </xdr:from>
    <xdr:ext cx="6134100" cy="536438"/>
    <xdr:sp macro="" textlink="">
      <xdr:nvSpPr>
        <xdr:cNvPr id="2" name="TextBox 1">
          <a:extLst>
            <a:ext uri="{FF2B5EF4-FFF2-40B4-BE49-F238E27FC236}">
              <a16:creationId xmlns:a16="http://schemas.microsoft.com/office/drawing/2014/main" id="{00000000-0008-0000-0300-000002000000}"/>
            </a:ext>
          </a:extLst>
        </xdr:cNvPr>
        <xdr:cNvSpPr txBox="1"/>
      </xdr:nvSpPr>
      <xdr:spPr>
        <a:xfrm>
          <a:off x="609600" y="190500"/>
          <a:ext cx="6134100" cy="542925"/>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ctr"/>
          <a:r>
            <a:rPr lang="hy-AM" sz="1000">
              <a:latin typeface="GHEA Grapalat" pitchFamily="50" charset="0"/>
            </a:rPr>
            <a:t>Կենսաթոշակառուների հաշվառման միասնական ՏՀ</a:t>
          </a:r>
          <a:r>
            <a:rPr lang="en-GB" sz="1000">
              <a:latin typeface="GHEA Grapalat" pitchFamily="50" charset="0"/>
            </a:rPr>
            <a:t>-ում հաշվառված</a:t>
          </a:r>
          <a:r>
            <a:rPr lang="en-GB" sz="1000" baseline="0">
              <a:latin typeface="GHEA Grapalat" pitchFamily="50" charset="0"/>
            </a:rPr>
            <a:t> ստանալու իրավունք ունեցող պետական նպաստի հետևյալ տեսակների թվաքանակի մասին</a:t>
          </a:r>
          <a:endParaRPr lang="en-US" sz="1000">
            <a:latin typeface="GHEA Grapalat" pitchFamily="50" charset="0"/>
          </a:endParaRPr>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0</xdr:col>
      <xdr:colOff>291466</xdr:colOff>
      <xdr:row>0</xdr:row>
      <xdr:rowOff>150493</xdr:rowOff>
    </xdr:from>
    <xdr:ext cx="6179627" cy="608628"/>
    <xdr:sp macro="" textlink="">
      <xdr:nvSpPr>
        <xdr:cNvPr id="2" name="TextBox 1">
          <a:extLst>
            <a:ext uri="{FF2B5EF4-FFF2-40B4-BE49-F238E27FC236}">
              <a16:creationId xmlns:a16="http://schemas.microsoft.com/office/drawing/2014/main" id="{00000000-0008-0000-0400-000002000000}"/>
            </a:ext>
          </a:extLst>
        </xdr:cNvPr>
        <xdr:cNvSpPr txBox="1"/>
      </xdr:nvSpPr>
      <xdr:spPr>
        <a:xfrm>
          <a:off x="291466" y="150493"/>
          <a:ext cx="6179627" cy="608628"/>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marL="0" marR="0" indent="0" algn="ctr" defTabSz="914400" eaLnBrk="1" fontAlgn="auto" latinLnBrk="0" hangingPunct="1">
            <a:lnSpc>
              <a:spcPct val="100000"/>
            </a:lnSpc>
            <a:spcBef>
              <a:spcPts val="0"/>
            </a:spcBef>
            <a:spcAft>
              <a:spcPts val="0"/>
            </a:spcAft>
            <a:buClrTx/>
            <a:buSzTx/>
            <a:buFontTx/>
            <a:buNone/>
            <a:tabLst/>
            <a:defRPr/>
          </a:pPr>
          <a:r>
            <a:rPr lang="hy-AM" sz="1000">
              <a:solidFill>
                <a:schemeClr val="tx1"/>
              </a:solidFill>
              <a:effectLst/>
              <a:latin typeface="GHEA Grapalat" pitchFamily="50" charset="0"/>
              <a:ea typeface="+mn-ea"/>
              <a:cs typeface="+mn-cs"/>
            </a:rPr>
            <a:t>Կենսաթոշակառուների հաշվառման միասնական ՏՀ-ից</a:t>
          </a:r>
          <a:r>
            <a:rPr lang="en-GB" sz="1000">
              <a:solidFill>
                <a:schemeClr val="tx1"/>
              </a:solidFill>
              <a:effectLst/>
              <a:latin typeface="GHEA Grapalat" pitchFamily="50" charset="0"/>
              <a:ea typeface="+mn-ea"/>
              <a:cs typeface="+mn-cs"/>
            </a:rPr>
            <a:t> </a:t>
          </a:r>
          <a:r>
            <a:rPr lang="en-GB" sz="1000" b="1">
              <a:solidFill>
                <a:schemeClr val="tx1"/>
              </a:solidFill>
              <a:effectLst/>
              <a:latin typeface="GHEA Grapalat" pitchFamily="50" charset="0"/>
              <a:ea typeface="+mn-ea"/>
              <a:cs typeface="+mn-cs"/>
            </a:rPr>
            <a:t>01.04.2021թ.</a:t>
          </a:r>
          <a:r>
            <a:rPr lang="en-GB" sz="1000" baseline="0">
              <a:solidFill>
                <a:schemeClr val="tx1"/>
              </a:solidFill>
              <a:effectLst/>
              <a:latin typeface="GHEA Grapalat" pitchFamily="50" charset="0"/>
              <a:ea typeface="+mn-ea"/>
              <a:cs typeface="+mn-cs"/>
            </a:rPr>
            <a:t> դրությամբ կերակրողին կորցնելու դեպքում աշխատանքային կենսաթոշակների թվաքանակի, գումարային ստաժի մասին ըստ ստաժի տարիների</a:t>
          </a:r>
          <a:endParaRPr lang="en-US" sz="1000">
            <a:effectLst/>
            <a:latin typeface="GHEA Grapalat" pitchFamily="50" charset="0"/>
          </a:endParaRPr>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G171"/>
  <sheetViews>
    <sheetView topLeftCell="A145" workbookViewId="0">
      <selection activeCell="F171" sqref="F171:G171"/>
    </sheetView>
  </sheetViews>
  <sheetFormatPr defaultColWidth="8.85546875" defaultRowHeight="15"/>
  <cols>
    <col min="1" max="1" width="5.85546875" bestFit="1" customWidth="1"/>
    <col min="2" max="2" width="8.85546875" bestFit="1" customWidth="1"/>
    <col min="3" max="3" width="9.7109375" bestFit="1" customWidth="1"/>
    <col min="4" max="4" width="8.42578125" bestFit="1" customWidth="1"/>
    <col min="5" max="5" width="9.7109375" bestFit="1" customWidth="1"/>
    <col min="6" max="6" width="8.42578125" bestFit="1" customWidth="1"/>
    <col min="7" max="7" width="9.7109375" bestFit="1" customWidth="1"/>
  </cols>
  <sheetData>
    <row r="5" spans="1:7">
      <c r="B5" s="3" t="s">
        <v>2</v>
      </c>
    </row>
    <row r="6" spans="1:7">
      <c r="A6" s="19"/>
      <c r="B6" s="618" t="s">
        <v>18</v>
      </c>
      <c r="C6" s="619"/>
      <c r="D6" s="618" t="s">
        <v>19</v>
      </c>
      <c r="E6" s="619"/>
      <c r="F6" s="620" t="s">
        <v>20</v>
      </c>
      <c r="G6" s="620"/>
    </row>
    <row r="7" spans="1:7" ht="27">
      <c r="A7" s="4" t="s">
        <v>0</v>
      </c>
      <c r="B7" s="4" t="s">
        <v>1</v>
      </c>
      <c r="C7" s="4" t="s">
        <v>7</v>
      </c>
      <c r="D7" s="4" t="s">
        <v>1</v>
      </c>
      <c r="E7" s="4" t="s">
        <v>7</v>
      </c>
      <c r="F7" s="20" t="s">
        <v>1</v>
      </c>
      <c r="G7" s="4" t="s">
        <v>7</v>
      </c>
    </row>
    <row r="8" spans="1:7">
      <c r="A8" s="1">
        <v>0</v>
      </c>
      <c r="B8" s="1">
        <v>9</v>
      </c>
      <c r="C8" s="9">
        <v>26500</v>
      </c>
      <c r="D8" s="9">
        <v>9</v>
      </c>
      <c r="E8" s="9">
        <v>26500</v>
      </c>
      <c r="F8" s="9"/>
      <c r="G8" s="9"/>
    </row>
    <row r="9" spans="1:7">
      <c r="A9" s="1">
        <v>1</v>
      </c>
      <c r="B9" s="1">
        <v>9</v>
      </c>
      <c r="C9" s="9">
        <v>26500</v>
      </c>
      <c r="D9" s="9">
        <v>9</v>
      </c>
      <c r="E9" s="9">
        <v>26500</v>
      </c>
      <c r="F9" s="9"/>
      <c r="G9" s="9"/>
    </row>
    <row r="10" spans="1:7">
      <c r="A10" s="1">
        <v>2</v>
      </c>
      <c r="B10" s="1">
        <v>9</v>
      </c>
      <c r="C10" s="9">
        <v>26500</v>
      </c>
      <c r="D10" s="9">
        <v>9</v>
      </c>
      <c r="E10" s="9">
        <v>26500</v>
      </c>
      <c r="F10" s="9"/>
      <c r="G10" s="9"/>
    </row>
    <row r="11" spans="1:7">
      <c r="A11" s="1">
        <v>3</v>
      </c>
      <c r="B11" s="1">
        <v>26</v>
      </c>
      <c r="C11" s="9">
        <v>26500</v>
      </c>
      <c r="D11" s="9">
        <v>26</v>
      </c>
      <c r="E11" s="9">
        <v>26500</v>
      </c>
      <c r="F11" s="9"/>
      <c r="G11" s="9"/>
    </row>
    <row r="12" spans="1:7">
      <c r="A12" s="1">
        <v>4</v>
      </c>
      <c r="B12" s="1">
        <v>32</v>
      </c>
      <c r="C12" s="9">
        <v>26500</v>
      </c>
      <c r="D12" s="9">
        <v>32</v>
      </c>
      <c r="E12" s="9">
        <v>26500</v>
      </c>
      <c r="F12" s="9"/>
      <c r="G12" s="9"/>
    </row>
    <row r="13" spans="1:7">
      <c r="A13" s="1">
        <v>5</v>
      </c>
      <c r="B13" s="1">
        <v>59</v>
      </c>
      <c r="C13" s="9">
        <v>26500</v>
      </c>
      <c r="D13" s="9">
        <v>59</v>
      </c>
      <c r="E13" s="9">
        <v>26500</v>
      </c>
      <c r="F13" s="9"/>
      <c r="G13" s="9"/>
    </row>
    <row r="14" spans="1:7">
      <c r="A14" s="1">
        <v>6</v>
      </c>
      <c r="B14" s="1">
        <v>96</v>
      </c>
      <c r="C14" s="9">
        <v>28537.8125</v>
      </c>
      <c r="D14" s="9">
        <v>93</v>
      </c>
      <c r="E14" s="9">
        <v>26500</v>
      </c>
      <c r="F14" s="9">
        <v>3</v>
      </c>
      <c r="G14" s="9">
        <v>91710</v>
      </c>
    </row>
    <row r="15" spans="1:7">
      <c r="A15" s="1">
        <v>7</v>
      </c>
      <c r="B15" s="1">
        <v>113</v>
      </c>
      <c r="C15" s="9">
        <v>29995.24778761062</v>
      </c>
      <c r="D15" s="9">
        <v>107</v>
      </c>
      <c r="E15" s="9">
        <v>26500</v>
      </c>
      <c r="F15" s="9">
        <v>6</v>
      </c>
      <c r="G15" s="9">
        <v>92327.166666666672</v>
      </c>
    </row>
    <row r="16" spans="1:7">
      <c r="A16" s="1">
        <v>8</v>
      </c>
      <c r="B16" s="1">
        <v>168</v>
      </c>
      <c r="C16" s="9">
        <v>27283.095238095237</v>
      </c>
      <c r="D16" s="9">
        <v>166</v>
      </c>
      <c r="E16" s="9">
        <v>26500</v>
      </c>
      <c r="F16" s="9">
        <v>2</v>
      </c>
      <c r="G16" s="9">
        <v>92280</v>
      </c>
    </row>
    <row r="17" spans="1:7">
      <c r="A17" s="1">
        <v>9</v>
      </c>
      <c r="B17" s="1">
        <v>181</v>
      </c>
      <c r="C17" s="9">
        <v>28348.613259668509</v>
      </c>
      <c r="D17" s="9">
        <v>176</v>
      </c>
      <c r="E17" s="9">
        <v>26500</v>
      </c>
      <c r="F17" s="9">
        <v>5</v>
      </c>
      <c r="G17" s="9">
        <v>93419.8</v>
      </c>
    </row>
    <row r="18" spans="1:7">
      <c r="A18" s="1">
        <v>10</v>
      </c>
      <c r="B18" s="1">
        <v>314</v>
      </c>
      <c r="C18" s="9">
        <v>27369.426751592357</v>
      </c>
      <c r="D18" s="9">
        <v>310</v>
      </c>
      <c r="E18" s="9">
        <v>26500</v>
      </c>
      <c r="F18" s="9">
        <v>4</v>
      </c>
      <c r="G18" s="9">
        <v>94750</v>
      </c>
    </row>
    <row r="19" spans="1:7">
      <c r="A19" s="1">
        <v>11</v>
      </c>
      <c r="B19" s="1">
        <v>276</v>
      </c>
      <c r="C19" s="9">
        <v>27245.108695652172</v>
      </c>
      <c r="D19" s="9">
        <v>273</v>
      </c>
      <c r="E19" s="9">
        <v>26500</v>
      </c>
      <c r="F19" s="9">
        <v>3</v>
      </c>
      <c r="G19" s="9">
        <v>95050</v>
      </c>
    </row>
    <row r="20" spans="1:7">
      <c r="A20" s="1">
        <v>12</v>
      </c>
      <c r="B20" s="1">
        <v>279</v>
      </c>
      <c r="C20" s="9">
        <v>26988.283154121862</v>
      </c>
      <c r="D20" s="9">
        <v>277</v>
      </c>
      <c r="E20" s="9">
        <v>26500</v>
      </c>
      <c r="F20" s="9">
        <v>2</v>
      </c>
      <c r="G20" s="9">
        <v>94615.5</v>
      </c>
    </row>
    <row r="21" spans="1:7">
      <c r="A21" s="1">
        <v>13</v>
      </c>
      <c r="B21" s="1">
        <v>327</v>
      </c>
      <c r="C21" s="9">
        <v>26923.027522935779</v>
      </c>
      <c r="D21" s="9">
        <v>325</v>
      </c>
      <c r="E21" s="9">
        <v>26500</v>
      </c>
      <c r="F21" s="9">
        <v>2</v>
      </c>
      <c r="G21" s="9">
        <v>95665</v>
      </c>
    </row>
    <row r="22" spans="1:7">
      <c r="A22" s="1">
        <v>14</v>
      </c>
      <c r="B22" s="1">
        <v>247</v>
      </c>
      <c r="C22" s="9">
        <v>27062.591093117408</v>
      </c>
      <c r="D22" s="9">
        <v>245</v>
      </c>
      <c r="E22" s="9">
        <v>26500</v>
      </c>
      <c r="F22" s="9">
        <v>2</v>
      </c>
      <c r="G22" s="9">
        <v>95980</v>
      </c>
    </row>
    <row r="23" spans="1:7">
      <c r="A23" s="1">
        <v>15</v>
      </c>
      <c r="B23" s="1">
        <v>242</v>
      </c>
      <c r="C23" s="9">
        <v>27365.289256198346</v>
      </c>
      <c r="D23" s="9">
        <v>239</v>
      </c>
      <c r="E23" s="9">
        <v>26500</v>
      </c>
      <c r="F23" s="9">
        <v>3</v>
      </c>
      <c r="G23" s="9">
        <v>96300</v>
      </c>
    </row>
    <row r="24" spans="1:7">
      <c r="A24" s="1">
        <v>16</v>
      </c>
      <c r="B24" s="1">
        <v>288</v>
      </c>
      <c r="C24" s="9">
        <v>27959.375</v>
      </c>
      <c r="D24" s="9">
        <v>282</v>
      </c>
      <c r="E24" s="9">
        <v>26500</v>
      </c>
      <c r="F24" s="9">
        <v>6</v>
      </c>
      <c r="G24" s="9">
        <v>96550</v>
      </c>
    </row>
    <row r="25" spans="1:7">
      <c r="A25" s="1">
        <v>17</v>
      </c>
      <c r="B25" s="1">
        <v>198</v>
      </c>
      <c r="C25" s="9">
        <v>27567.5</v>
      </c>
      <c r="D25" s="9">
        <v>195</v>
      </c>
      <c r="E25" s="9">
        <v>26500</v>
      </c>
      <c r="F25" s="9">
        <v>3</v>
      </c>
      <c r="G25" s="9">
        <v>96955</v>
      </c>
    </row>
    <row r="26" spans="1:7">
      <c r="A26" s="1">
        <v>18</v>
      </c>
      <c r="B26" s="1">
        <v>226</v>
      </c>
      <c r="C26" s="9">
        <v>27740.973451327434</v>
      </c>
      <c r="D26" s="9">
        <v>222</v>
      </c>
      <c r="E26" s="9">
        <v>26500</v>
      </c>
      <c r="F26" s="9">
        <v>4</v>
      </c>
      <c r="G26" s="9">
        <v>96615</v>
      </c>
    </row>
    <row r="27" spans="1:7">
      <c r="A27" s="1">
        <v>19</v>
      </c>
      <c r="B27" s="1">
        <v>203</v>
      </c>
      <c r="C27" s="9">
        <v>28607.133004926109</v>
      </c>
      <c r="D27" s="9">
        <v>197</v>
      </c>
      <c r="E27" s="9">
        <v>26500</v>
      </c>
      <c r="F27" s="9">
        <v>6</v>
      </c>
      <c r="G27" s="9">
        <v>97791.333333333328</v>
      </c>
    </row>
    <row r="28" spans="1:7">
      <c r="A28" s="1">
        <v>20</v>
      </c>
      <c r="B28" s="1">
        <v>185</v>
      </c>
      <c r="C28" s="9">
        <v>28429.172972972974</v>
      </c>
      <c r="D28" s="9">
        <v>180</v>
      </c>
      <c r="E28" s="9">
        <v>26500</v>
      </c>
      <c r="F28" s="9">
        <v>5</v>
      </c>
      <c r="G28" s="9">
        <v>97879.4</v>
      </c>
    </row>
    <row r="29" spans="1:7">
      <c r="A29" s="1">
        <v>21</v>
      </c>
      <c r="B29" s="1">
        <v>187</v>
      </c>
      <c r="C29" s="9">
        <v>27268.18181818182</v>
      </c>
      <c r="D29" s="9">
        <v>185</v>
      </c>
      <c r="E29" s="9">
        <v>26500</v>
      </c>
      <c r="F29" s="9">
        <v>2</v>
      </c>
      <c r="G29" s="9">
        <v>98325</v>
      </c>
    </row>
    <row r="30" spans="1:7">
      <c r="A30" s="1">
        <v>22</v>
      </c>
      <c r="B30" s="1">
        <v>165</v>
      </c>
      <c r="C30" s="9">
        <v>27525.454545454544</v>
      </c>
      <c r="D30" s="9">
        <v>163</v>
      </c>
      <c r="E30" s="9">
        <v>26652.39263803681</v>
      </c>
      <c r="F30" s="9">
        <v>2</v>
      </c>
      <c r="G30" s="9">
        <v>98680</v>
      </c>
    </row>
    <row r="31" spans="1:7">
      <c r="A31" s="1">
        <v>23</v>
      </c>
      <c r="B31" s="1">
        <v>140</v>
      </c>
      <c r="C31" s="9">
        <v>28474.964285714286</v>
      </c>
      <c r="D31" s="9">
        <v>137</v>
      </c>
      <c r="E31" s="9">
        <v>26933.576642335767</v>
      </c>
      <c r="F31" s="9">
        <v>3</v>
      </c>
      <c r="G31" s="9">
        <v>98865</v>
      </c>
    </row>
    <row r="32" spans="1:7">
      <c r="A32" s="1">
        <v>24</v>
      </c>
      <c r="B32" s="1">
        <v>116</v>
      </c>
      <c r="C32" s="9">
        <v>27914.439655172413</v>
      </c>
      <c r="D32" s="9">
        <v>115</v>
      </c>
      <c r="E32" s="9">
        <v>27292.782608695652</v>
      </c>
      <c r="F32" s="9">
        <v>1</v>
      </c>
      <c r="G32" s="9">
        <v>99405</v>
      </c>
    </row>
    <row r="33" spans="1:7">
      <c r="A33" s="1">
        <v>25</v>
      </c>
      <c r="B33" s="1">
        <v>139</v>
      </c>
      <c r="C33" s="9">
        <v>29256.942446043166</v>
      </c>
      <c r="D33" s="9">
        <v>136</v>
      </c>
      <c r="E33" s="9">
        <v>27681.25</v>
      </c>
      <c r="F33" s="9">
        <v>3</v>
      </c>
      <c r="G33" s="9">
        <v>100688.33333333333</v>
      </c>
    </row>
    <row r="34" spans="1:7">
      <c r="A34" s="1">
        <v>26</v>
      </c>
      <c r="B34" s="1">
        <v>139</v>
      </c>
      <c r="C34" s="9">
        <v>30603.920863309351</v>
      </c>
      <c r="D34" s="9">
        <v>134</v>
      </c>
      <c r="E34" s="9">
        <v>28002.238805970148</v>
      </c>
      <c r="F34" s="9">
        <v>5</v>
      </c>
      <c r="G34" s="9">
        <v>100329</v>
      </c>
    </row>
    <row r="35" spans="1:7">
      <c r="A35" s="1">
        <v>27</v>
      </c>
      <c r="B35" s="1">
        <v>102</v>
      </c>
      <c r="C35" s="9">
        <v>29116.470588235294</v>
      </c>
      <c r="D35" s="9">
        <v>101</v>
      </c>
      <c r="E35" s="9">
        <v>28409.405940594061</v>
      </c>
      <c r="F35" s="9">
        <v>1</v>
      </c>
      <c r="G35" s="9">
        <v>100530</v>
      </c>
    </row>
    <row r="36" spans="1:7">
      <c r="A36" s="1">
        <v>28</v>
      </c>
      <c r="B36" s="1">
        <v>121</v>
      </c>
      <c r="C36" s="9">
        <v>31896.776859504131</v>
      </c>
      <c r="D36" s="9">
        <v>116</v>
      </c>
      <c r="E36" s="9">
        <v>28884.482758620688</v>
      </c>
      <c r="F36" s="9">
        <v>5</v>
      </c>
      <c r="G36" s="9">
        <v>101782</v>
      </c>
    </row>
    <row r="37" spans="1:7">
      <c r="A37" s="1">
        <v>29</v>
      </c>
      <c r="B37" s="1">
        <v>95</v>
      </c>
      <c r="C37" s="9">
        <v>29261.147368421054</v>
      </c>
      <c r="D37" s="9">
        <v>95</v>
      </c>
      <c r="E37" s="9">
        <v>29261.147368421054</v>
      </c>
      <c r="F37" s="9"/>
      <c r="G37" s="9"/>
    </row>
    <row r="38" spans="1:7">
      <c r="A38" s="1">
        <v>30</v>
      </c>
      <c r="B38" s="1">
        <v>109</v>
      </c>
      <c r="C38" s="9">
        <v>31689.954128440368</v>
      </c>
      <c r="D38" s="9">
        <v>106</v>
      </c>
      <c r="E38" s="9">
        <v>29700</v>
      </c>
      <c r="F38" s="9">
        <v>3</v>
      </c>
      <c r="G38" s="9">
        <v>102001.66666666667</v>
      </c>
    </row>
    <row r="39" spans="1:7">
      <c r="A39" s="1">
        <v>31</v>
      </c>
      <c r="B39" s="1">
        <v>103</v>
      </c>
      <c r="C39" s="9">
        <v>32221.310679611652</v>
      </c>
      <c r="D39" s="9">
        <v>100</v>
      </c>
      <c r="E39" s="9">
        <v>30100</v>
      </c>
      <c r="F39" s="9">
        <v>3</v>
      </c>
      <c r="G39" s="9">
        <v>102931.66666666667</v>
      </c>
    </row>
    <row r="40" spans="1:7">
      <c r="A40" s="1">
        <v>32</v>
      </c>
      <c r="B40" s="1">
        <v>93</v>
      </c>
      <c r="C40" s="9">
        <v>34385.913978494624</v>
      </c>
      <c r="D40" s="9">
        <v>88</v>
      </c>
      <c r="E40" s="9">
        <v>30505</v>
      </c>
      <c r="F40" s="9">
        <v>5</v>
      </c>
      <c r="G40" s="9">
        <v>102690</v>
      </c>
    </row>
    <row r="41" spans="1:7">
      <c r="A41" s="1">
        <v>33</v>
      </c>
      <c r="B41" s="1">
        <v>82</v>
      </c>
      <c r="C41" s="9">
        <v>31797.158536585364</v>
      </c>
      <c r="D41" s="9">
        <v>81</v>
      </c>
      <c r="E41" s="9">
        <v>30915</v>
      </c>
      <c r="F41" s="9">
        <v>1</v>
      </c>
      <c r="G41" s="9">
        <v>103252</v>
      </c>
    </row>
    <row r="42" spans="1:7">
      <c r="A42" s="1">
        <v>34</v>
      </c>
      <c r="B42" s="1">
        <v>92</v>
      </c>
      <c r="C42" s="9">
        <v>32118.967391304348</v>
      </c>
      <c r="D42" s="9">
        <v>91</v>
      </c>
      <c r="E42" s="9">
        <v>31330</v>
      </c>
      <c r="F42" s="9">
        <v>1</v>
      </c>
      <c r="G42" s="9">
        <v>103915</v>
      </c>
    </row>
    <row r="43" spans="1:7">
      <c r="A43" s="1">
        <v>35</v>
      </c>
      <c r="B43" s="1">
        <v>114</v>
      </c>
      <c r="C43" s="9">
        <v>33013.745614035084</v>
      </c>
      <c r="D43" s="9">
        <v>112</v>
      </c>
      <c r="E43" s="9">
        <v>31750</v>
      </c>
      <c r="F43" s="9">
        <v>2</v>
      </c>
      <c r="G43" s="9">
        <v>103783.5</v>
      </c>
    </row>
    <row r="44" spans="1:7">
      <c r="A44" s="1">
        <v>36</v>
      </c>
      <c r="B44" s="1">
        <v>119</v>
      </c>
      <c r="C44" s="9">
        <v>32783.445378151264</v>
      </c>
      <c r="D44" s="9">
        <v>118</v>
      </c>
      <c r="E44" s="9">
        <v>32175</v>
      </c>
      <c r="F44" s="9">
        <v>1</v>
      </c>
      <c r="G44" s="9">
        <v>104580</v>
      </c>
    </row>
    <row r="45" spans="1:7">
      <c r="A45" s="1">
        <v>37</v>
      </c>
      <c r="B45" s="1">
        <v>109</v>
      </c>
      <c r="C45" s="9">
        <v>33929.266055045875</v>
      </c>
      <c r="D45" s="9">
        <v>107</v>
      </c>
      <c r="E45" s="9">
        <v>32605</v>
      </c>
      <c r="F45" s="9">
        <v>2</v>
      </c>
      <c r="G45" s="9">
        <v>104777.5</v>
      </c>
    </row>
    <row r="46" spans="1:7">
      <c r="A46" s="1">
        <v>38</v>
      </c>
      <c r="B46" s="1">
        <v>109</v>
      </c>
      <c r="C46" s="9">
        <v>33703.715596330272</v>
      </c>
      <c r="D46" s="9">
        <v>108</v>
      </c>
      <c r="E46" s="9">
        <v>33040</v>
      </c>
      <c r="F46" s="9">
        <v>1</v>
      </c>
      <c r="G46" s="9">
        <v>105385</v>
      </c>
    </row>
    <row r="47" spans="1:7">
      <c r="A47" s="1">
        <v>39</v>
      </c>
      <c r="B47" s="1">
        <v>130</v>
      </c>
      <c r="C47" s="9">
        <v>36259.038461538461</v>
      </c>
      <c r="D47" s="9">
        <v>125</v>
      </c>
      <c r="E47" s="9">
        <v>33480</v>
      </c>
      <c r="F47" s="9">
        <v>5</v>
      </c>
      <c r="G47" s="9">
        <v>105735</v>
      </c>
    </row>
    <row r="48" spans="1:7">
      <c r="A48" s="1">
        <v>40</v>
      </c>
      <c r="B48" s="1">
        <v>138</v>
      </c>
      <c r="C48" s="9">
        <v>34970.144927536232</v>
      </c>
      <c r="D48" s="9">
        <v>136</v>
      </c>
      <c r="E48" s="9">
        <v>33925</v>
      </c>
      <c r="F48" s="9">
        <v>2</v>
      </c>
      <c r="G48" s="9">
        <v>106040</v>
      </c>
    </row>
    <row r="49" spans="1:7">
      <c r="A49" s="1">
        <v>41</v>
      </c>
      <c r="B49" s="1">
        <v>105</v>
      </c>
      <c r="C49" s="9">
        <v>34500</v>
      </c>
      <c r="D49" s="9">
        <v>105</v>
      </c>
      <c r="E49" s="9">
        <v>34500</v>
      </c>
      <c r="F49" s="9"/>
      <c r="G49" s="9"/>
    </row>
    <row r="50" spans="1:7">
      <c r="A50" s="1">
        <v>42</v>
      </c>
      <c r="B50" s="1">
        <v>119</v>
      </c>
      <c r="C50" s="9">
        <v>35085</v>
      </c>
      <c r="D50" s="9">
        <v>119</v>
      </c>
      <c r="E50" s="9">
        <v>35085</v>
      </c>
      <c r="F50" s="9"/>
      <c r="G50" s="9"/>
    </row>
    <row r="51" spans="1:7">
      <c r="A51" s="1">
        <v>43</v>
      </c>
      <c r="B51" s="1">
        <v>108</v>
      </c>
      <c r="C51" s="9">
        <v>37657.361111111109</v>
      </c>
      <c r="D51" s="9">
        <v>105</v>
      </c>
      <c r="E51" s="9">
        <v>35680</v>
      </c>
      <c r="F51" s="9">
        <v>3</v>
      </c>
      <c r="G51" s="9">
        <v>106865</v>
      </c>
    </row>
    <row r="52" spans="1:7">
      <c r="A52" s="1">
        <v>44</v>
      </c>
      <c r="B52" s="1">
        <v>112</v>
      </c>
      <c r="C52" s="9">
        <v>36285</v>
      </c>
      <c r="D52" s="9">
        <v>112</v>
      </c>
      <c r="E52" s="9">
        <v>36285</v>
      </c>
      <c r="F52" s="9"/>
      <c r="G52" s="9"/>
    </row>
    <row r="53" spans="1:7">
      <c r="A53" s="1">
        <v>45</v>
      </c>
      <c r="B53" s="1">
        <v>114</v>
      </c>
      <c r="C53" s="9">
        <v>38146.491228070176</v>
      </c>
      <c r="D53" s="9">
        <v>112</v>
      </c>
      <c r="E53" s="9">
        <v>36900</v>
      </c>
      <c r="F53" s="9">
        <v>2</v>
      </c>
      <c r="G53" s="9">
        <v>107950</v>
      </c>
    </row>
    <row r="54" spans="1:7">
      <c r="A54" s="1">
        <v>46</v>
      </c>
      <c r="B54" s="1">
        <v>96</v>
      </c>
      <c r="C54" s="9">
        <v>37525</v>
      </c>
      <c r="D54" s="9">
        <v>96</v>
      </c>
      <c r="E54" s="9">
        <v>37525</v>
      </c>
      <c r="F54" s="9"/>
      <c r="G54" s="9"/>
    </row>
    <row r="55" spans="1:7">
      <c r="A55" s="1">
        <v>47</v>
      </c>
      <c r="B55" s="1">
        <v>82</v>
      </c>
      <c r="C55" s="9">
        <v>39018.963414634149</v>
      </c>
      <c r="D55" s="9">
        <v>81</v>
      </c>
      <c r="E55" s="9">
        <v>38160</v>
      </c>
      <c r="F55" s="9">
        <v>1</v>
      </c>
      <c r="G55" s="9">
        <v>108595</v>
      </c>
    </row>
    <row r="56" spans="1:7">
      <c r="A56" s="1">
        <v>48</v>
      </c>
      <c r="B56" s="1">
        <v>79</v>
      </c>
      <c r="C56" s="9">
        <v>40579.303797468354</v>
      </c>
      <c r="D56" s="9">
        <v>77</v>
      </c>
      <c r="E56" s="9">
        <v>38805</v>
      </c>
      <c r="F56" s="9">
        <v>2</v>
      </c>
      <c r="G56" s="9">
        <v>108890</v>
      </c>
    </row>
    <row r="57" spans="1:7">
      <c r="A57" s="1">
        <v>49</v>
      </c>
      <c r="B57" s="1">
        <v>78</v>
      </c>
      <c r="C57" s="9">
        <v>43936.153846153844</v>
      </c>
      <c r="D57" s="9">
        <v>73</v>
      </c>
      <c r="E57" s="9">
        <v>39460</v>
      </c>
      <c r="F57" s="9">
        <v>5</v>
      </c>
      <c r="G57" s="9">
        <v>109288</v>
      </c>
    </row>
    <row r="58" spans="1:7">
      <c r="A58" s="1">
        <v>50</v>
      </c>
      <c r="B58" s="1">
        <v>81</v>
      </c>
      <c r="C58" s="9">
        <v>40125</v>
      </c>
      <c r="D58" s="9">
        <v>81</v>
      </c>
      <c r="E58" s="9">
        <v>40125</v>
      </c>
      <c r="F58" s="9"/>
      <c r="G58" s="9"/>
    </row>
    <row r="59" spans="1:7">
      <c r="A59" s="1">
        <v>51</v>
      </c>
      <c r="B59" s="1">
        <v>75</v>
      </c>
      <c r="C59" s="9">
        <v>41721.666666666664</v>
      </c>
      <c r="D59" s="9">
        <v>74</v>
      </c>
      <c r="E59" s="9">
        <v>40800</v>
      </c>
      <c r="F59" s="9">
        <v>1</v>
      </c>
      <c r="G59" s="9">
        <v>109925</v>
      </c>
    </row>
    <row r="60" spans="1:7">
      <c r="A60" s="1">
        <v>52</v>
      </c>
      <c r="B60" s="1">
        <v>74</v>
      </c>
      <c r="C60" s="9">
        <v>42424.66216216216</v>
      </c>
      <c r="D60" s="9">
        <v>73</v>
      </c>
      <c r="E60" s="9">
        <v>41485</v>
      </c>
      <c r="F60" s="9">
        <v>1</v>
      </c>
      <c r="G60" s="9">
        <v>111020</v>
      </c>
    </row>
    <row r="61" spans="1:7">
      <c r="A61" s="1">
        <v>53</v>
      </c>
      <c r="B61" s="1">
        <v>44</v>
      </c>
      <c r="C61" s="9">
        <v>42180</v>
      </c>
      <c r="D61" s="9">
        <v>44</v>
      </c>
      <c r="E61" s="9">
        <v>42180</v>
      </c>
      <c r="F61" s="9"/>
      <c r="G61" s="9"/>
    </row>
    <row r="62" spans="1:7">
      <c r="A62" s="1">
        <v>54</v>
      </c>
      <c r="B62" s="1">
        <v>43</v>
      </c>
      <c r="C62" s="9">
        <v>42885</v>
      </c>
      <c r="D62" s="9">
        <v>43</v>
      </c>
      <c r="E62" s="9">
        <v>42885</v>
      </c>
      <c r="F62" s="9"/>
      <c r="G62" s="9"/>
    </row>
    <row r="63" spans="1:7">
      <c r="A63" s="1">
        <v>55</v>
      </c>
      <c r="B63" s="1">
        <v>47</v>
      </c>
      <c r="C63" s="9">
        <v>43600</v>
      </c>
      <c r="D63" s="9">
        <v>47</v>
      </c>
      <c r="E63" s="9">
        <v>43600</v>
      </c>
      <c r="F63" s="9"/>
      <c r="G63" s="9"/>
    </row>
    <row r="64" spans="1:7">
      <c r="A64" s="1">
        <v>56</v>
      </c>
      <c r="B64" s="1">
        <v>36</v>
      </c>
      <c r="C64" s="9">
        <v>49964.027777777781</v>
      </c>
      <c r="D64" s="9">
        <v>33</v>
      </c>
      <c r="E64" s="9">
        <v>44325</v>
      </c>
      <c r="F64" s="9">
        <v>3</v>
      </c>
      <c r="G64" s="9">
        <v>111993.33333333333</v>
      </c>
    </row>
    <row r="65" spans="1:7">
      <c r="A65" s="1">
        <v>57</v>
      </c>
      <c r="B65" s="1">
        <v>40</v>
      </c>
      <c r="C65" s="9">
        <v>46806.25</v>
      </c>
      <c r="D65" s="9">
        <v>39</v>
      </c>
      <c r="E65" s="9">
        <v>45060</v>
      </c>
      <c r="F65" s="9">
        <v>1</v>
      </c>
      <c r="G65" s="9">
        <v>114910</v>
      </c>
    </row>
    <row r="66" spans="1:7">
      <c r="A66" s="1">
        <v>58</v>
      </c>
      <c r="B66" s="1">
        <v>29</v>
      </c>
      <c r="C66" s="9">
        <v>45805</v>
      </c>
      <c r="D66" s="9">
        <v>29</v>
      </c>
      <c r="E66" s="9">
        <v>45805</v>
      </c>
      <c r="F66" s="9"/>
      <c r="G66" s="9"/>
    </row>
    <row r="67" spans="1:7">
      <c r="A67" s="1">
        <v>59</v>
      </c>
      <c r="B67" s="1">
        <v>30</v>
      </c>
      <c r="C67" s="9">
        <v>48869.833333333336</v>
      </c>
      <c r="D67" s="9">
        <v>29</v>
      </c>
      <c r="E67" s="9">
        <v>46560</v>
      </c>
      <c r="F67" s="9">
        <v>1</v>
      </c>
      <c r="G67" s="9">
        <v>115855</v>
      </c>
    </row>
    <row r="68" spans="1:7">
      <c r="A68" s="1">
        <v>60</v>
      </c>
      <c r="B68" s="1">
        <v>29</v>
      </c>
      <c r="C68" s="9">
        <v>49614.482758620688</v>
      </c>
      <c r="D68" s="9">
        <v>28</v>
      </c>
      <c r="E68" s="9">
        <v>47325</v>
      </c>
      <c r="F68" s="9">
        <v>1</v>
      </c>
      <c r="G68" s="9">
        <v>113720</v>
      </c>
    </row>
    <row r="69" spans="1:7">
      <c r="A69" s="1">
        <v>61</v>
      </c>
      <c r="B69" s="1">
        <v>24</v>
      </c>
      <c r="C69" s="9">
        <v>53846.25</v>
      </c>
      <c r="D69" s="9">
        <v>22</v>
      </c>
      <c r="E69" s="9">
        <v>48100</v>
      </c>
      <c r="F69" s="9">
        <v>2</v>
      </c>
      <c r="G69" s="9">
        <v>117055</v>
      </c>
    </row>
    <row r="70" spans="1:7">
      <c r="A70" s="1">
        <v>62</v>
      </c>
      <c r="B70" s="1">
        <v>14</v>
      </c>
      <c r="C70" s="9">
        <v>53550.357142857145</v>
      </c>
      <c r="D70" s="9">
        <v>13</v>
      </c>
      <c r="E70" s="9">
        <v>48885</v>
      </c>
      <c r="F70" s="9">
        <v>1</v>
      </c>
      <c r="G70" s="9">
        <v>114200</v>
      </c>
    </row>
    <row r="71" spans="1:7">
      <c r="A71" s="1">
        <v>63</v>
      </c>
      <c r="B71" s="1">
        <v>14</v>
      </c>
      <c r="C71" s="9">
        <v>49680</v>
      </c>
      <c r="D71" s="9">
        <v>14</v>
      </c>
      <c r="E71" s="9">
        <v>49680</v>
      </c>
      <c r="F71" s="9"/>
      <c r="G71" s="9"/>
    </row>
    <row r="72" spans="1:7">
      <c r="A72" s="1">
        <v>64</v>
      </c>
      <c r="B72" s="1">
        <v>15</v>
      </c>
      <c r="C72" s="9">
        <v>50485</v>
      </c>
      <c r="D72" s="9">
        <v>15</v>
      </c>
      <c r="E72" s="9">
        <v>50485</v>
      </c>
      <c r="F72" s="9"/>
      <c r="G72" s="9"/>
    </row>
    <row r="73" spans="1:7">
      <c r="A73" s="1">
        <v>65</v>
      </c>
      <c r="B73" s="1">
        <v>12</v>
      </c>
      <c r="C73" s="9">
        <v>51300</v>
      </c>
      <c r="D73" s="9">
        <v>12</v>
      </c>
      <c r="E73" s="9">
        <v>51300</v>
      </c>
      <c r="F73" s="9"/>
      <c r="G73" s="9"/>
    </row>
    <row r="74" spans="1:7">
      <c r="A74" s="1">
        <v>66</v>
      </c>
      <c r="B74" s="1">
        <v>6</v>
      </c>
      <c r="C74" s="9">
        <v>52125</v>
      </c>
      <c r="D74" s="9">
        <v>6</v>
      </c>
      <c r="E74" s="9">
        <v>52125</v>
      </c>
      <c r="F74" s="9"/>
      <c r="G74" s="9"/>
    </row>
    <row r="75" spans="1:7">
      <c r="A75" s="1">
        <v>67</v>
      </c>
      <c r="B75" s="1">
        <v>11</v>
      </c>
      <c r="C75" s="9">
        <v>52960</v>
      </c>
      <c r="D75" s="9">
        <v>11</v>
      </c>
      <c r="E75" s="9">
        <v>52960</v>
      </c>
      <c r="F75" s="9"/>
      <c r="G75" s="9"/>
    </row>
    <row r="76" spans="1:7">
      <c r="A76" s="1">
        <v>68</v>
      </c>
      <c r="B76" s="1">
        <v>3</v>
      </c>
      <c r="C76" s="9">
        <v>53805</v>
      </c>
      <c r="D76" s="9">
        <v>3</v>
      </c>
      <c r="E76" s="9">
        <v>53805</v>
      </c>
      <c r="F76" s="9"/>
      <c r="G76" s="9"/>
    </row>
    <row r="77" spans="1:7">
      <c r="A77" s="1">
        <v>69</v>
      </c>
      <c r="B77" s="1">
        <v>6</v>
      </c>
      <c r="C77" s="9">
        <v>54660</v>
      </c>
      <c r="D77" s="9">
        <v>6</v>
      </c>
      <c r="E77" s="9">
        <v>54660</v>
      </c>
      <c r="F77" s="9"/>
      <c r="G77" s="9"/>
    </row>
    <row r="78" spans="1:7">
      <c r="A78" s="1">
        <v>70</v>
      </c>
      <c r="B78" s="1">
        <v>1</v>
      </c>
      <c r="C78" s="9">
        <v>55525</v>
      </c>
      <c r="D78" s="9">
        <v>1</v>
      </c>
      <c r="E78" s="9">
        <v>55525</v>
      </c>
      <c r="F78" s="9"/>
      <c r="G78" s="9"/>
    </row>
    <row r="79" spans="1:7">
      <c r="A79" s="1">
        <v>71</v>
      </c>
      <c r="B79" s="1">
        <v>6</v>
      </c>
      <c r="C79" s="9">
        <v>56400</v>
      </c>
      <c r="D79" s="9">
        <v>6</v>
      </c>
      <c r="E79" s="9">
        <v>56400</v>
      </c>
      <c r="F79" s="9"/>
      <c r="G79" s="9"/>
    </row>
    <row r="80" spans="1:7">
      <c r="A80" s="1">
        <v>72</v>
      </c>
      <c r="B80" s="1">
        <v>2</v>
      </c>
      <c r="C80" s="9">
        <v>57285</v>
      </c>
      <c r="D80" s="9">
        <v>2</v>
      </c>
      <c r="E80" s="9">
        <v>57285</v>
      </c>
      <c r="F80" s="9"/>
      <c r="G80" s="9"/>
    </row>
    <row r="81" spans="1:7">
      <c r="A81" s="1">
        <v>73</v>
      </c>
      <c r="B81" s="1">
        <v>1</v>
      </c>
      <c r="C81" s="9">
        <v>58180</v>
      </c>
      <c r="D81" s="9">
        <v>1</v>
      </c>
      <c r="E81" s="9">
        <v>58180</v>
      </c>
      <c r="F81" s="9"/>
      <c r="G81" s="9"/>
    </row>
    <row r="82" spans="1:7">
      <c r="A82" s="1">
        <v>74</v>
      </c>
      <c r="B82" s="1">
        <v>3</v>
      </c>
      <c r="C82" s="9">
        <v>59085</v>
      </c>
      <c r="D82" s="9">
        <v>3</v>
      </c>
      <c r="E82" s="9">
        <v>59085</v>
      </c>
      <c r="F82" s="9"/>
      <c r="G82" s="9"/>
    </row>
    <row r="83" spans="1:7">
      <c r="A83" s="1">
        <v>75</v>
      </c>
      <c r="B83" s="1">
        <v>2</v>
      </c>
      <c r="C83" s="9">
        <v>60000</v>
      </c>
      <c r="D83" s="9">
        <v>2</v>
      </c>
      <c r="E83" s="9">
        <v>60000</v>
      </c>
      <c r="F83" s="9"/>
      <c r="G83" s="9"/>
    </row>
    <row r="84" spans="1:7">
      <c r="A84" s="1">
        <v>76</v>
      </c>
      <c r="B84" s="1">
        <v>3</v>
      </c>
      <c r="C84" s="9">
        <v>80416.666666666672</v>
      </c>
      <c r="D84" s="9">
        <v>2</v>
      </c>
      <c r="E84" s="9">
        <v>60500</v>
      </c>
      <c r="F84" s="9">
        <v>1</v>
      </c>
      <c r="G84" s="9">
        <v>120250</v>
      </c>
    </row>
    <row r="85" spans="1:7">
      <c r="A85" s="1">
        <v>77</v>
      </c>
      <c r="B85" s="1">
        <v>3</v>
      </c>
      <c r="C85" s="9">
        <v>81135</v>
      </c>
      <c r="D85" s="9">
        <v>2</v>
      </c>
      <c r="E85" s="9">
        <v>61000</v>
      </c>
      <c r="F85" s="9">
        <v>1</v>
      </c>
      <c r="G85" s="9">
        <v>121405</v>
      </c>
    </row>
    <row r="86" spans="1:7">
      <c r="A86" s="1">
        <v>78</v>
      </c>
      <c r="B86" s="1">
        <v>1</v>
      </c>
      <c r="C86" s="9">
        <v>61500</v>
      </c>
      <c r="D86" s="9">
        <v>1</v>
      </c>
      <c r="E86" s="9">
        <v>61500</v>
      </c>
      <c r="F86" s="9"/>
      <c r="G86" s="9"/>
    </row>
    <row r="87" spans="1:7">
      <c r="A87" s="1">
        <v>79</v>
      </c>
      <c r="B87" s="1">
        <v>4</v>
      </c>
      <c r="C87" s="9">
        <v>77057.5</v>
      </c>
      <c r="D87" s="9">
        <v>3</v>
      </c>
      <c r="E87" s="9">
        <v>62000</v>
      </c>
      <c r="F87" s="9">
        <v>1</v>
      </c>
      <c r="G87" s="9">
        <v>122230</v>
      </c>
    </row>
    <row r="88" spans="1:7">
      <c r="A88" s="1">
        <v>80</v>
      </c>
      <c r="B88" s="1">
        <v>1</v>
      </c>
      <c r="C88" s="9">
        <v>62500</v>
      </c>
      <c r="D88" s="9">
        <v>1</v>
      </c>
      <c r="E88" s="9">
        <v>62500</v>
      </c>
      <c r="F88" s="9"/>
      <c r="G88" s="9"/>
    </row>
    <row r="89" spans="1:7">
      <c r="A89" s="1">
        <v>81</v>
      </c>
      <c r="B89" s="1">
        <v>2</v>
      </c>
      <c r="C89" s="9">
        <v>92860</v>
      </c>
      <c r="D89" s="9">
        <v>1</v>
      </c>
      <c r="E89" s="9">
        <v>63000</v>
      </c>
      <c r="F89" s="9">
        <v>1</v>
      </c>
      <c r="G89" s="9">
        <v>122720</v>
      </c>
    </row>
    <row r="90" spans="1:7">
      <c r="A90" s="1">
        <v>82</v>
      </c>
      <c r="B90" s="1">
        <v>1</v>
      </c>
      <c r="C90" s="9">
        <v>63500</v>
      </c>
      <c r="D90" s="9">
        <v>1</v>
      </c>
      <c r="E90" s="9">
        <v>63500</v>
      </c>
      <c r="F90" s="9"/>
      <c r="G90" s="9"/>
    </row>
    <row r="91" spans="1:7">
      <c r="A91" s="1">
        <v>83</v>
      </c>
      <c r="B91" s="1">
        <v>2</v>
      </c>
      <c r="C91" s="9">
        <v>94520</v>
      </c>
      <c r="D91" s="9">
        <v>1</v>
      </c>
      <c r="E91" s="9">
        <v>64000</v>
      </c>
      <c r="F91" s="9">
        <v>1</v>
      </c>
      <c r="G91" s="9">
        <v>125040</v>
      </c>
    </row>
    <row r="92" spans="1:7">
      <c r="A92" s="1">
        <v>84</v>
      </c>
      <c r="B92" s="1">
        <v>1</v>
      </c>
      <c r="C92" s="9">
        <v>64500</v>
      </c>
      <c r="D92" s="9">
        <v>1</v>
      </c>
      <c r="E92" s="9">
        <v>64500</v>
      </c>
      <c r="F92" s="9"/>
      <c r="G92" s="9"/>
    </row>
    <row r="93" spans="1:7">
      <c r="A93" s="1">
        <v>85</v>
      </c>
      <c r="B93" s="1">
        <v>1</v>
      </c>
      <c r="C93" s="9">
        <v>65000</v>
      </c>
      <c r="D93" s="9">
        <v>1</v>
      </c>
      <c r="E93" s="9">
        <v>65000</v>
      </c>
      <c r="F93" s="9"/>
      <c r="G93" s="9"/>
    </row>
    <row r="94" spans="1:7">
      <c r="A94" s="1">
        <v>86</v>
      </c>
      <c r="B94" s="1"/>
      <c r="C94" s="9" t="e">
        <v>#DIV/0!</v>
      </c>
      <c r="D94" s="9"/>
      <c r="E94" s="9"/>
      <c r="F94" s="9"/>
      <c r="G94" s="9"/>
    </row>
    <row r="95" spans="1:7">
      <c r="A95" s="1">
        <v>87</v>
      </c>
      <c r="B95" s="1"/>
      <c r="C95" s="9" t="e">
        <v>#DIV/0!</v>
      </c>
      <c r="D95" s="9"/>
      <c r="E95" s="9"/>
      <c r="F95" s="9"/>
      <c r="G95" s="9"/>
    </row>
    <row r="96" spans="1:7">
      <c r="A96" s="1">
        <v>88</v>
      </c>
      <c r="B96" s="1">
        <v>1</v>
      </c>
      <c r="C96" s="9">
        <v>66500</v>
      </c>
      <c r="D96" s="9">
        <v>1</v>
      </c>
      <c r="E96" s="9">
        <v>66500</v>
      </c>
      <c r="F96" s="9"/>
      <c r="G96" s="9"/>
    </row>
    <row r="97" spans="1:7">
      <c r="A97" s="1">
        <v>89</v>
      </c>
      <c r="B97" s="1">
        <v>2</v>
      </c>
      <c r="C97" s="9">
        <v>97122.5</v>
      </c>
      <c r="D97" s="9">
        <v>1</v>
      </c>
      <c r="E97" s="9">
        <v>67000</v>
      </c>
      <c r="F97" s="9">
        <v>1</v>
      </c>
      <c r="G97" s="9">
        <v>127245</v>
      </c>
    </row>
    <row r="98" spans="1:7">
      <c r="A98" s="1">
        <v>90</v>
      </c>
      <c r="B98" s="1">
        <v>2</v>
      </c>
      <c r="C98" s="9">
        <v>67500</v>
      </c>
      <c r="D98" s="9">
        <v>2</v>
      </c>
      <c r="E98" s="9">
        <v>67500</v>
      </c>
      <c r="F98" s="9"/>
      <c r="G98" s="9"/>
    </row>
    <row r="99" spans="1:7">
      <c r="A99" s="1">
        <v>91</v>
      </c>
      <c r="B99" s="1"/>
      <c r="C99" s="9"/>
      <c r="D99" s="9"/>
      <c r="E99" s="9"/>
      <c r="F99" s="9"/>
      <c r="G99" s="9"/>
    </row>
    <row r="100" spans="1:7">
      <c r="A100" s="1">
        <v>92</v>
      </c>
      <c r="B100" s="1"/>
      <c r="C100" s="9"/>
      <c r="D100" s="9"/>
      <c r="E100" s="9"/>
      <c r="F100" s="9"/>
      <c r="G100" s="9"/>
    </row>
    <row r="101" spans="1:7">
      <c r="A101" s="1">
        <v>93</v>
      </c>
      <c r="B101" s="1">
        <v>2</v>
      </c>
      <c r="C101" s="9">
        <v>69000</v>
      </c>
      <c r="D101" s="9">
        <v>2</v>
      </c>
      <c r="E101" s="9">
        <v>69000</v>
      </c>
      <c r="F101" s="9"/>
      <c r="G101" s="9"/>
    </row>
    <row r="102" spans="1:7">
      <c r="A102" s="1">
        <v>94</v>
      </c>
      <c r="B102" s="1"/>
      <c r="C102" s="9"/>
      <c r="D102" s="9"/>
      <c r="E102" s="9"/>
      <c r="F102" s="9"/>
      <c r="G102" s="9"/>
    </row>
    <row r="103" spans="1:7">
      <c r="A103" s="1">
        <v>95</v>
      </c>
      <c r="B103" s="1">
        <v>1</v>
      </c>
      <c r="C103" s="9">
        <v>70000</v>
      </c>
      <c r="D103" s="9">
        <v>1</v>
      </c>
      <c r="E103" s="9">
        <v>70000</v>
      </c>
      <c r="F103" s="9"/>
      <c r="G103" s="9"/>
    </row>
    <row r="104" spans="1:7">
      <c r="A104" s="1">
        <v>96</v>
      </c>
      <c r="B104" s="1"/>
      <c r="C104" s="9"/>
      <c r="D104" s="9"/>
      <c r="E104" s="9"/>
      <c r="F104" s="9"/>
      <c r="G104" s="9"/>
    </row>
    <row r="105" spans="1:7">
      <c r="A105" s="1">
        <v>97</v>
      </c>
      <c r="B105" s="1">
        <v>4</v>
      </c>
      <c r="C105" s="9">
        <v>71000</v>
      </c>
      <c r="D105" s="9">
        <v>4</v>
      </c>
      <c r="E105" s="9">
        <v>71000</v>
      </c>
      <c r="F105" s="9"/>
      <c r="G105" s="9"/>
    </row>
    <row r="106" spans="1:7">
      <c r="A106" s="1">
        <v>98</v>
      </c>
      <c r="B106" s="1">
        <v>2</v>
      </c>
      <c r="C106" s="9">
        <v>71500</v>
      </c>
      <c r="D106" s="9">
        <v>2</v>
      </c>
      <c r="E106" s="9">
        <v>71500</v>
      </c>
      <c r="F106" s="9"/>
      <c r="G106" s="9"/>
    </row>
    <row r="107" spans="1:7">
      <c r="A107" s="1">
        <v>99</v>
      </c>
      <c r="B107" s="1">
        <v>1</v>
      </c>
      <c r="C107" s="9">
        <v>72000</v>
      </c>
      <c r="D107" s="9">
        <v>1</v>
      </c>
      <c r="E107" s="9">
        <v>72000</v>
      </c>
      <c r="F107" s="9"/>
      <c r="G107" s="9"/>
    </row>
    <row r="108" spans="1:7">
      <c r="A108" s="1">
        <v>100</v>
      </c>
      <c r="B108" s="1">
        <v>1</v>
      </c>
      <c r="C108" s="9">
        <v>72500</v>
      </c>
      <c r="D108" s="9">
        <v>1</v>
      </c>
      <c r="E108" s="9">
        <v>72500</v>
      </c>
      <c r="F108" s="9"/>
      <c r="G108" s="9"/>
    </row>
    <row r="109" spans="1:7">
      <c r="A109" s="1">
        <v>101</v>
      </c>
      <c r="B109" s="1"/>
      <c r="C109" s="9"/>
      <c r="D109" s="9"/>
      <c r="E109" s="9"/>
      <c r="F109" s="9"/>
      <c r="G109" s="9"/>
    </row>
    <row r="110" spans="1:7">
      <c r="A110" s="1">
        <v>102</v>
      </c>
      <c r="B110" s="1">
        <v>1</v>
      </c>
      <c r="C110" s="9">
        <v>73500</v>
      </c>
      <c r="D110" s="9">
        <v>1</v>
      </c>
      <c r="E110" s="9">
        <v>73500</v>
      </c>
      <c r="F110" s="9"/>
      <c r="G110" s="9"/>
    </row>
    <row r="111" spans="1:7">
      <c r="A111" s="1">
        <v>103</v>
      </c>
      <c r="B111" s="1">
        <v>1</v>
      </c>
      <c r="C111" s="9">
        <v>74000</v>
      </c>
      <c r="D111" s="9">
        <v>1</v>
      </c>
      <c r="E111" s="9">
        <v>74000</v>
      </c>
      <c r="F111" s="9"/>
      <c r="G111" s="9"/>
    </row>
    <row r="112" spans="1:7">
      <c r="A112" s="1">
        <v>104</v>
      </c>
      <c r="B112" s="1"/>
      <c r="C112" s="9"/>
      <c r="D112" s="9"/>
      <c r="E112" s="9"/>
      <c r="F112" s="9"/>
      <c r="G112" s="9"/>
    </row>
    <row r="113" spans="1:7">
      <c r="A113" s="1">
        <v>105</v>
      </c>
      <c r="B113" s="1">
        <v>1</v>
      </c>
      <c r="C113" s="9">
        <v>75000</v>
      </c>
      <c r="D113" s="9">
        <v>1</v>
      </c>
      <c r="E113" s="9">
        <v>75000</v>
      </c>
      <c r="F113" s="9"/>
      <c r="G113" s="9"/>
    </row>
    <row r="114" spans="1:7">
      <c r="A114" s="1">
        <v>106</v>
      </c>
      <c r="B114" s="1"/>
      <c r="C114" s="9"/>
      <c r="D114" s="9"/>
      <c r="E114" s="9"/>
      <c r="F114" s="9"/>
      <c r="G114" s="9"/>
    </row>
    <row r="115" spans="1:7">
      <c r="A115" s="1">
        <v>107</v>
      </c>
      <c r="B115" s="1"/>
      <c r="C115" s="9"/>
      <c r="D115" s="9"/>
      <c r="E115" s="9"/>
      <c r="F115" s="9"/>
      <c r="G115" s="9"/>
    </row>
    <row r="116" spans="1:7">
      <c r="A116" s="1">
        <v>108</v>
      </c>
      <c r="B116" s="1">
        <v>1</v>
      </c>
      <c r="C116" s="9">
        <v>76500</v>
      </c>
      <c r="D116" s="9">
        <v>1</v>
      </c>
      <c r="E116" s="9">
        <v>76500</v>
      </c>
      <c r="F116" s="9"/>
      <c r="G116" s="9"/>
    </row>
    <row r="117" spans="1:7">
      <c r="A117" s="1">
        <v>109</v>
      </c>
      <c r="B117" s="1"/>
      <c r="C117" s="9"/>
      <c r="D117" s="9"/>
      <c r="E117" s="9"/>
      <c r="F117" s="9"/>
      <c r="G117" s="9"/>
    </row>
    <row r="118" spans="1:7">
      <c r="A118" s="1">
        <v>110</v>
      </c>
      <c r="B118" s="1"/>
      <c r="C118" s="9"/>
      <c r="D118" s="9"/>
      <c r="E118" s="9"/>
      <c r="F118" s="9"/>
      <c r="G118" s="9"/>
    </row>
    <row r="119" spans="1:7">
      <c r="A119" s="1">
        <v>111</v>
      </c>
      <c r="B119" s="1">
        <v>1</v>
      </c>
      <c r="C119" s="9">
        <v>78000</v>
      </c>
      <c r="D119" s="9">
        <v>1</v>
      </c>
      <c r="E119" s="9">
        <v>78000</v>
      </c>
      <c r="F119" s="9"/>
      <c r="G119" s="9"/>
    </row>
    <row r="120" spans="1:7">
      <c r="A120" s="1">
        <v>112</v>
      </c>
      <c r="B120" s="1">
        <v>3</v>
      </c>
      <c r="C120" s="9">
        <v>79682.666666666672</v>
      </c>
      <c r="D120" s="9">
        <v>3</v>
      </c>
      <c r="E120" s="9">
        <v>79682.666666666672</v>
      </c>
      <c r="F120" s="9"/>
      <c r="G120" s="9"/>
    </row>
    <row r="121" spans="1:7">
      <c r="A121" s="1">
        <v>113</v>
      </c>
      <c r="B121" s="1">
        <v>2</v>
      </c>
      <c r="C121" s="9">
        <v>81086.5</v>
      </c>
      <c r="D121" s="9">
        <v>2</v>
      </c>
      <c r="E121" s="9">
        <v>81086.5</v>
      </c>
      <c r="F121" s="9"/>
      <c r="G121" s="9"/>
    </row>
    <row r="122" spans="1:7">
      <c r="A122" s="1">
        <v>114</v>
      </c>
      <c r="B122" s="1"/>
      <c r="C122" s="9"/>
      <c r="D122" s="9"/>
      <c r="E122" s="9"/>
      <c r="F122" s="9"/>
      <c r="G122" s="9"/>
    </row>
    <row r="123" spans="1:7">
      <c r="A123" s="1">
        <v>115</v>
      </c>
      <c r="B123" s="1"/>
      <c r="C123" s="9"/>
      <c r="D123" s="9"/>
      <c r="E123" s="9"/>
      <c r="F123" s="9"/>
      <c r="G123" s="9"/>
    </row>
    <row r="124" spans="1:7">
      <c r="A124" s="1">
        <v>116</v>
      </c>
      <c r="B124" s="1">
        <v>1</v>
      </c>
      <c r="C124" s="9">
        <v>80500</v>
      </c>
      <c r="D124" s="9">
        <v>1</v>
      </c>
      <c r="E124" s="9">
        <v>80500</v>
      </c>
      <c r="F124" s="9"/>
      <c r="G124" s="9"/>
    </row>
    <row r="125" spans="1:7">
      <c r="A125" s="1">
        <v>117</v>
      </c>
      <c r="B125" s="1"/>
      <c r="C125" s="9"/>
      <c r="D125" s="9"/>
      <c r="E125" s="9"/>
      <c r="F125" s="9"/>
      <c r="G125" s="9"/>
    </row>
    <row r="126" spans="1:7">
      <c r="A126" s="1">
        <v>118</v>
      </c>
      <c r="B126" s="1"/>
      <c r="C126" s="9"/>
      <c r="D126" s="9"/>
      <c r="E126" s="9"/>
      <c r="F126" s="9"/>
      <c r="G126" s="9"/>
    </row>
    <row r="127" spans="1:7">
      <c r="A127" s="1">
        <v>119</v>
      </c>
      <c r="B127" s="1"/>
      <c r="C127" s="9"/>
      <c r="D127" s="9"/>
      <c r="E127" s="9"/>
      <c r="F127" s="9"/>
      <c r="G127" s="9"/>
    </row>
    <row r="128" spans="1:7">
      <c r="A128" s="1">
        <v>120</v>
      </c>
      <c r="B128" s="1"/>
      <c r="C128" s="9"/>
      <c r="D128" s="9"/>
      <c r="E128" s="9"/>
      <c r="F128" s="9"/>
      <c r="G128" s="9"/>
    </row>
    <row r="129" spans="1:7">
      <c r="A129" s="1">
        <v>121</v>
      </c>
      <c r="B129" s="1"/>
      <c r="C129" s="9"/>
      <c r="D129" s="9"/>
      <c r="E129" s="9"/>
      <c r="F129" s="9"/>
      <c r="G129" s="9"/>
    </row>
    <row r="130" spans="1:7">
      <c r="A130" s="1">
        <v>122</v>
      </c>
      <c r="B130" s="1">
        <v>1</v>
      </c>
      <c r="C130" s="9">
        <v>83500</v>
      </c>
      <c r="D130" s="9">
        <v>1</v>
      </c>
      <c r="E130" s="9">
        <v>83500</v>
      </c>
      <c r="F130" s="9"/>
      <c r="G130" s="9"/>
    </row>
    <row r="131" spans="1:7">
      <c r="A131" s="1">
        <v>123</v>
      </c>
      <c r="B131" s="1">
        <v>2</v>
      </c>
      <c r="C131" s="9">
        <v>84000</v>
      </c>
      <c r="D131" s="9">
        <v>2</v>
      </c>
      <c r="E131" s="9">
        <v>84000</v>
      </c>
      <c r="F131" s="9"/>
      <c r="G131" s="9"/>
    </row>
    <row r="132" spans="1:7">
      <c r="A132" s="1">
        <v>124</v>
      </c>
      <c r="B132" s="1">
        <v>1</v>
      </c>
      <c r="C132" s="9">
        <v>84500</v>
      </c>
      <c r="D132" s="9">
        <v>1</v>
      </c>
      <c r="E132" s="9">
        <v>84500</v>
      </c>
      <c r="F132" s="9"/>
      <c r="G132" s="9"/>
    </row>
    <row r="133" spans="1:7">
      <c r="A133" s="1">
        <v>125</v>
      </c>
      <c r="B133" s="1">
        <v>2</v>
      </c>
      <c r="C133" s="9">
        <v>85000</v>
      </c>
      <c r="D133" s="9">
        <v>2</v>
      </c>
      <c r="E133" s="9">
        <v>85000</v>
      </c>
      <c r="F133" s="9"/>
      <c r="G133" s="9"/>
    </row>
    <row r="134" spans="1:7">
      <c r="A134" s="1">
        <v>126</v>
      </c>
      <c r="B134" s="1">
        <v>1</v>
      </c>
      <c r="C134" s="9">
        <v>85500</v>
      </c>
      <c r="D134" s="9">
        <v>1</v>
      </c>
      <c r="E134" s="9">
        <v>85500</v>
      </c>
      <c r="F134" s="9"/>
      <c r="G134" s="9"/>
    </row>
    <row r="135" spans="1:7">
      <c r="A135" s="1">
        <v>127</v>
      </c>
      <c r="B135" s="1"/>
      <c r="C135" s="9"/>
      <c r="D135" s="9"/>
      <c r="E135" s="9"/>
      <c r="F135" s="9"/>
      <c r="G135" s="9"/>
    </row>
    <row r="136" spans="1:7">
      <c r="A136" s="1">
        <v>128</v>
      </c>
      <c r="B136" s="1"/>
      <c r="C136" s="9"/>
      <c r="D136" s="9"/>
      <c r="E136" s="9"/>
      <c r="F136" s="9"/>
      <c r="G136" s="9"/>
    </row>
    <row r="137" spans="1:7">
      <c r="A137" s="1">
        <v>129</v>
      </c>
      <c r="B137" s="1">
        <v>3</v>
      </c>
      <c r="C137" s="9">
        <v>102397</v>
      </c>
      <c r="D137" s="9">
        <v>3</v>
      </c>
      <c r="E137" s="9">
        <v>102397</v>
      </c>
      <c r="F137" s="9"/>
      <c r="G137" s="9"/>
    </row>
    <row r="138" spans="1:7">
      <c r="A138" s="1">
        <v>130</v>
      </c>
      <c r="B138" s="1"/>
      <c r="C138" s="9"/>
      <c r="D138" s="9"/>
      <c r="E138" s="9"/>
      <c r="F138" s="9"/>
      <c r="G138" s="9"/>
    </row>
    <row r="139" spans="1:7">
      <c r="A139" s="1">
        <v>131</v>
      </c>
      <c r="B139" s="1"/>
      <c r="C139" s="9"/>
      <c r="D139" s="9"/>
      <c r="E139" s="9"/>
      <c r="F139" s="9"/>
      <c r="G139" s="9"/>
    </row>
    <row r="140" spans="1:7">
      <c r="A140" s="1">
        <v>132</v>
      </c>
      <c r="B140" s="1"/>
      <c r="C140" s="9"/>
      <c r="D140" s="9"/>
      <c r="E140" s="9"/>
      <c r="F140" s="9"/>
      <c r="G140" s="9"/>
    </row>
    <row r="141" spans="1:7">
      <c r="A141" s="1">
        <v>133</v>
      </c>
      <c r="B141" s="1"/>
      <c r="C141" s="9"/>
      <c r="D141" s="9"/>
      <c r="E141" s="9"/>
      <c r="F141" s="9"/>
      <c r="G141" s="9"/>
    </row>
    <row r="142" spans="1:7">
      <c r="A142" s="1">
        <v>134</v>
      </c>
      <c r="B142" s="1">
        <v>1</v>
      </c>
      <c r="C142" s="9">
        <v>89500</v>
      </c>
      <c r="D142" s="9">
        <v>1</v>
      </c>
      <c r="E142" s="9">
        <v>89500</v>
      </c>
      <c r="F142" s="9"/>
      <c r="G142" s="9"/>
    </row>
    <row r="143" spans="1:7">
      <c r="A143" s="1">
        <v>135</v>
      </c>
      <c r="B143" s="1"/>
      <c r="C143" s="9"/>
      <c r="D143" s="9"/>
      <c r="E143" s="9"/>
      <c r="F143" s="9"/>
      <c r="G143" s="9"/>
    </row>
    <row r="144" spans="1:7">
      <c r="A144" s="1">
        <v>137</v>
      </c>
      <c r="B144" s="1"/>
      <c r="C144" s="9"/>
      <c r="D144" s="9"/>
      <c r="E144" s="9"/>
      <c r="F144" s="9"/>
      <c r="G144" s="9"/>
    </row>
    <row r="145" spans="1:7">
      <c r="A145" s="1">
        <v>138</v>
      </c>
      <c r="B145" s="1">
        <v>1</v>
      </c>
      <c r="C145" s="9">
        <v>91500</v>
      </c>
      <c r="D145" s="9">
        <v>1</v>
      </c>
      <c r="E145" s="9">
        <v>91500</v>
      </c>
      <c r="F145" s="9"/>
      <c r="G145" s="9"/>
    </row>
    <row r="146" spans="1:7">
      <c r="A146" s="1">
        <v>139</v>
      </c>
      <c r="B146" s="1"/>
      <c r="C146" s="9"/>
      <c r="D146" s="9"/>
      <c r="E146" s="9"/>
      <c r="F146" s="9"/>
      <c r="G146" s="9"/>
    </row>
    <row r="147" spans="1:7">
      <c r="A147" s="1">
        <v>140</v>
      </c>
      <c r="B147" s="1"/>
      <c r="C147" s="9"/>
      <c r="D147" s="9"/>
      <c r="E147" s="9"/>
      <c r="F147" s="9"/>
      <c r="G147" s="9"/>
    </row>
    <row r="148" spans="1:7">
      <c r="A148" s="1">
        <v>141</v>
      </c>
      <c r="B148" s="1"/>
      <c r="C148" s="9"/>
      <c r="D148" s="9"/>
      <c r="E148" s="9"/>
      <c r="F148" s="9"/>
      <c r="G148" s="9"/>
    </row>
    <row r="149" spans="1:7">
      <c r="A149" s="1">
        <v>142</v>
      </c>
      <c r="B149" s="1"/>
      <c r="C149" s="9"/>
      <c r="D149" s="9"/>
      <c r="E149" s="9"/>
      <c r="F149" s="9"/>
      <c r="G149" s="9"/>
    </row>
    <row r="150" spans="1:7">
      <c r="A150" s="1">
        <v>143</v>
      </c>
      <c r="B150" s="1"/>
      <c r="C150" s="9"/>
      <c r="D150" s="9"/>
      <c r="E150" s="9"/>
      <c r="F150" s="9"/>
      <c r="G150" s="9"/>
    </row>
    <row r="151" spans="1:7">
      <c r="A151" s="1">
        <v>144</v>
      </c>
      <c r="B151" s="1"/>
      <c r="C151" s="9"/>
      <c r="D151" s="9"/>
      <c r="E151" s="9"/>
      <c r="F151" s="9"/>
      <c r="G151" s="9"/>
    </row>
    <row r="152" spans="1:7">
      <c r="A152" s="1">
        <v>145</v>
      </c>
      <c r="B152" s="1">
        <v>1</v>
      </c>
      <c r="C152" s="9">
        <v>95000</v>
      </c>
      <c r="D152" s="9">
        <v>1</v>
      </c>
      <c r="E152" s="9">
        <v>95000</v>
      </c>
      <c r="F152" s="9"/>
      <c r="G152" s="9"/>
    </row>
    <row r="153" spans="1:7">
      <c r="A153" s="1">
        <v>146</v>
      </c>
      <c r="B153" s="1"/>
      <c r="C153" s="9"/>
      <c r="D153" s="9"/>
      <c r="E153" s="9"/>
      <c r="F153" s="9"/>
      <c r="G153" s="9"/>
    </row>
    <row r="154" spans="1:7">
      <c r="A154" s="1">
        <v>147</v>
      </c>
      <c r="B154" s="1">
        <v>1</v>
      </c>
      <c r="C154" s="9">
        <v>96000</v>
      </c>
      <c r="D154" s="9">
        <v>1</v>
      </c>
      <c r="E154" s="9">
        <v>96000</v>
      </c>
      <c r="F154" s="9"/>
      <c r="G154" s="9"/>
    </row>
    <row r="155" spans="1:7">
      <c r="A155" s="1">
        <v>148</v>
      </c>
      <c r="B155" s="1"/>
      <c r="C155" s="9"/>
      <c r="D155" s="9"/>
      <c r="E155" s="9"/>
      <c r="F155" s="9"/>
      <c r="G155" s="9"/>
    </row>
    <row r="156" spans="1:7">
      <c r="A156" s="1">
        <v>150</v>
      </c>
      <c r="B156" s="1"/>
      <c r="C156" s="9"/>
      <c r="D156" s="9"/>
      <c r="E156" s="9"/>
      <c r="F156" s="9"/>
      <c r="G156" s="9"/>
    </row>
    <row r="157" spans="1:7">
      <c r="A157" s="1">
        <v>151</v>
      </c>
      <c r="B157" s="1"/>
      <c r="C157" s="9"/>
      <c r="D157" s="9"/>
      <c r="E157" s="9"/>
      <c r="F157" s="9"/>
      <c r="G157" s="9"/>
    </row>
    <row r="158" spans="1:7">
      <c r="A158" s="1">
        <v>152</v>
      </c>
      <c r="B158" s="1">
        <v>1</v>
      </c>
      <c r="C158" s="9">
        <v>98500</v>
      </c>
      <c r="D158" s="9">
        <v>1</v>
      </c>
      <c r="E158" s="9">
        <v>98500</v>
      </c>
      <c r="F158" s="9"/>
      <c r="G158" s="9"/>
    </row>
    <row r="159" spans="1:7">
      <c r="A159" s="1">
        <v>153</v>
      </c>
      <c r="B159" s="1"/>
      <c r="C159" s="9"/>
      <c r="D159" s="9"/>
      <c r="E159" s="9"/>
      <c r="F159" s="9"/>
      <c r="G159" s="9"/>
    </row>
    <row r="160" spans="1:7">
      <c r="A160" s="1">
        <v>155</v>
      </c>
      <c r="B160" s="1"/>
      <c r="C160" s="9"/>
      <c r="D160" s="9"/>
      <c r="E160" s="9"/>
      <c r="F160" s="9"/>
      <c r="G160" s="9"/>
    </row>
    <row r="161" spans="1:7">
      <c r="A161" s="1">
        <v>156</v>
      </c>
      <c r="B161" s="1"/>
      <c r="C161" s="9"/>
      <c r="D161" s="9"/>
      <c r="E161" s="9"/>
      <c r="F161" s="9"/>
      <c r="G161" s="9"/>
    </row>
    <row r="162" spans="1:7">
      <c r="A162" s="1">
        <v>157</v>
      </c>
      <c r="B162" s="1"/>
      <c r="C162" s="9"/>
      <c r="D162" s="9"/>
      <c r="E162" s="9"/>
      <c r="F162" s="9"/>
      <c r="G162" s="9"/>
    </row>
    <row r="163" spans="1:7">
      <c r="A163" s="1">
        <v>158</v>
      </c>
      <c r="B163" s="1">
        <v>1</v>
      </c>
      <c r="C163" s="9">
        <v>101500</v>
      </c>
      <c r="D163" s="9">
        <v>1</v>
      </c>
      <c r="E163" s="9">
        <v>101500</v>
      </c>
      <c r="F163" s="9"/>
      <c r="G163" s="9"/>
    </row>
    <row r="164" spans="1:7">
      <c r="A164" s="1">
        <v>159</v>
      </c>
      <c r="B164" s="1"/>
      <c r="C164" s="9"/>
      <c r="D164" s="9"/>
      <c r="E164" s="9"/>
      <c r="F164" s="9"/>
      <c r="G164" s="9"/>
    </row>
    <row r="165" spans="1:7">
      <c r="A165" s="1">
        <v>160</v>
      </c>
      <c r="B165" s="1"/>
      <c r="C165" s="9"/>
      <c r="D165" s="9"/>
      <c r="E165" s="9"/>
      <c r="F165" s="9"/>
      <c r="G165" s="9"/>
    </row>
    <row r="166" spans="1:7">
      <c r="A166" s="1">
        <v>165</v>
      </c>
      <c r="B166" s="1">
        <v>1</v>
      </c>
      <c r="C166" s="9">
        <v>105000</v>
      </c>
      <c r="D166" s="9">
        <v>1</v>
      </c>
      <c r="E166" s="9">
        <v>105000</v>
      </c>
      <c r="F166" s="9"/>
      <c r="G166" s="9"/>
    </row>
    <row r="167" spans="1:7">
      <c r="A167" s="1">
        <v>167</v>
      </c>
      <c r="B167" s="1"/>
      <c r="C167" s="9"/>
      <c r="D167" s="9"/>
      <c r="E167" s="9"/>
      <c r="F167" s="9"/>
      <c r="G167" s="9"/>
    </row>
    <row r="168" spans="1:7">
      <c r="A168" s="1">
        <v>168</v>
      </c>
      <c r="B168" s="1"/>
      <c r="C168" s="9"/>
      <c r="D168" s="9"/>
      <c r="E168" s="9"/>
      <c r="F168" s="9"/>
      <c r="G168" s="9"/>
    </row>
    <row r="169" spans="1:7">
      <c r="A169" s="1">
        <v>170</v>
      </c>
      <c r="B169" s="1"/>
      <c r="C169" s="9"/>
      <c r="D169" s="9"/>
      <c r="E169" s="9"/>
      <c r="F169" s="9"/>
      <c r="G169" s="9"/>
    </row>
    <row r="170" spans="1:7">
      <c r="A170" s="1">
        <v>179</v>
      </c>
      <c r="B170" s="1"/>
      <c r="C170" s="9"/>
      <c r="D170" s="9"/>
      <c r="E170" s="9"/>
      <c r="F170" s="9"/>
      <c r="G170" s="9"/>
    </row>
    <row r="171" spans="1:7">
      <c r="A171" s="2"/>
      <c r="B171" s="2">
        <v>7493</v>
      </c>
      <c r="C171" s="10">
        <v>31963.537034565594</v>
      </c>
      <c r="D171" s="10">
        <v>7359</v>
      </c>
      <c r="E171" s="10">
        <v>30691.58187253703</v>
      </c>
      <c r="F171" s="21">
        <v>134</v>
      </c>
      <c r="G171" s="10">
        <v>101816.65671641791</v>
      </c>
    </row>
  </sheetData>
  <mergeCells count="3">
    <mergeCell ref="B6:C6"/>
    <mergeCell ref="D6:E6"/>
    <mergeCell ref="F6:G6"/>
  </mergeCells>
  <pageMargins left="0" right="0" top="0" bottom="0" header="0.3" footer="0.3"/>
  <pageSetup fitToHeight="0"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79"/>
  <sheetViews>
    <sheetView zoomScaleNormal="100" workbookViewId="0">
      <pane xSplit="1" ySplit="26" topLeftCell="B141" activePane="bottomRight" state="frozen"/>
      <selection pane="topRight" activeCell="B1" sqref="B1"/>
      <selection pane="bottomLeft" activeCell="A27" sqref="A27"/>
      <selection pane="bottomRight" activeCell="E27" sqref="E27"/>
    </sheetView>
  </sheetViews>
  <sheetFormatPr defaultColWidth="8.85546875" defaultRowHeight="17.25" outlineLevelRow="1"/>
  <cols>
    <col min="1" max="1" width="7.7109375" style="23" customWidth="1"/>
    <col min="2" max="2" width="16" style="35" customWidth="1"/>
    <col min="3" max="3" width="9.140625" style="23" customWidth="1"/>
    <col min="4" max="4" width="15.28515625" style="23" bestFit="1" customWidth="1"/>
    <col min="5" max="5" width="16.140625" style="24" bestFit="1" customWidth="1"/>
    <col min="6" max="6" width="15.7109375" style="486" bestFit="1" customWidth="1"/>
    <col min="7" max="7" width="12.28515625" style="486" bestFit="1" customWidth="1"/>
    <col min="8" max="8" width="13.42578125" style="486" customWidth="1"/>
    <col min="9" max="9" width="11.42578125" style="486" customWidth="1"/>
    <col min="10" max="10" width="11.42578125" style="486" bestFit="1" customWidth="1"/>
    <col min="11" max="11" width="12.28515625" style="486" customWidth="1"/>
    <col min="12" max="12" width="11.42578125" style="486" bestFit="1" customWidth="1"/>
    <col min="13" max="13" width="11.42578125" style="486" customWidth="1"/>
    <col min="14" max="14" width="11.42578125" style="486" bestFit="1" customWidth="1"/>
    <col min="15" max="15" width="14" style="23" customWidth="1"/>
    <col min="16" max="16" width="9.85546875" style="23" bestFit="1" customWidth="1"/>
    <col min="17" max="16384" width="8.85546875" style="23"/>
  </cols>
  <sheetData>
    <row r="1" spans="1:14">
      <c r="A1" s="23" t="s">
        <v>27</v>
      </c>
      <c r="F1" s="482">
        <f>+ընդհանուր!F6</f>
        <v>6</v>
      </c>
      <c r="G1" s="482">
        <f>+ընդհանուր!G6</f>
        <v>6</v>
      </c>
      <c r="H1" s="482">
        <f>+ընդհանուր!H6</f>
        <v>6</v>
      </c>
      <c r="I1" s="482">
        <f>+ընդհանուր!I6</f>
        <v>6</v>
      </c>
      <c r="J1" s="482">
        <f>+ընդհանուր!J6</f>
        <v>6</v>
      </c>
      <c r="K1" s="482">
        <f>+ընդհանուր!K6</f>
        <v>6</v>
      </c>
      <c r="L1" s="482">
        <v>12</v>
      </c>
    </row>
    <row r="2" spans="1:14" ht="34.5">
      <c r="D2" s="26"/>
      <c r="E2" s="26"/>
      <c r="F2" s="483" t="s">
        <v>217</v>
      </c>
      <c r="G2" s="483" t="s">
        <v>218</v>
      </c>
      <c r="H2" s="483" t="s">
        <v>219</v>
      </c>
      <c r="I2" s="483" t="s">
        <v>220</v>
      </c>
      <c r="J2" s="483" t="s">
        <v>221</v>
      </c>
      <c r="K2" s="483" t="s">
        <v>222</v>
      </c>
      <c r="L2" s="484">
        <v>2026</v>
      </c>
    </row>
    <row r="3" spans="1:14">
      <c r="D3" s="26" t="s">
        <v>22</v>
      </c>
      <c r="E3" s="26"/>
      <c r="F3" s="485">
        <f>+ընդհանուր!E10</f>
        <v>21000</v>
      </c>
      <c r="G3" s="485">
        <f>+ընդհանուր!F10</f>
        <v>36000</v>
      </c>
      <c r="H3" s="485">
        <f>+ընդհանուր!G10</f>
        <v>36000</v>
      </c>
      <c r="I3" s="485">
        <f>+ընդհանուր!H10</f>
        <v>37000</v>
      </c>
      <c r="J3" s="485">
        <f>+ընդհանուր!I10</f>
        <v>37000</v>
      </c>
      <c r="K3" s="485">
        <f>+ընդհանուր!J10</f>
        <v>38000</v>
      </c>
      <c r="L3" s="485">
        <f>+ընդհանուր!K10</f>
        <v>39500</v>
      </c>
      <c r="M3" s="47"/>
    </row>
    <row r="4" spans="1:14">
      <c r="D4" s="26" t="s">
        <v>23</v>
      </c>
      <c r="E4" s="26"/>
      <c r="F4" s="485">
        <f>+ընդհանուր!E11</f>
        <v>31600</v>
      </c>
      <c r="G4" s="485">
        <f>+ընդհանուր!F11</f>
        <v>0</v>
      </c>
      <c r="H4" s="485">
        <f>+ընդհանուր!G11</f>
        <v>0</v>
      </c>
      <c r="I4" s="485">
        <f>+ընդհանուր!H11</f>
        <v>0</v>
      </c>
      <c r="J4" s="485">
        <f>+ընդհանուր!I11</f>
        <v>0</v>
      </c>
      <c r="K4" s="485">
        <f>+ընդհանուր!J11</f>
        <v>0</v>
      </c>
      <c r="L4" s="485">
        <f>+ընդհանուր!K11</f>
        <v>0</v>
      </c>
    </row>
    <row r="5" spans="1:14">
      <c r="D5" s="26" t="s">
        <v>24</v>
      </c>
      <c r="E5" s="26"/>
      <c r="F5" s="485">
        <f>+ընդհանուր!E16</f>
        <v>950</v>
      </c>
      <c r="G5" s="485">
        <f>+ընդհանուր!F16</f>
        <v>0</v>
      </c>
      <c r="H5" s="485">
        <f>+ընդհանուր!G16</f>
        <v>0</v>
      </c>
      <c r="I5" s="485">
        <f>+ընդհանուր!H16</f>
        <v>0</v>
      </c>
      <c r="J5" s="485">
        <f>+ընդհանուր!I16</f>
        <v>0</v>
      </c>
      <c r="K5" s="485">
        <f>+ընդհանուր!J16</f>
        <v>0</v>
      </c>
      <c r="L5" s="485">
        <f>+ընդհանուր!K16</f>
        <v>0</v>
      </c>
    </row>
    <row r="6" spans="1:14">
      <c r="D6" s="26" t="s">
        <v>25</v>
      </c>
      <c r="E6" s="26"/>
      <c r="F6" s="485">
        <f>+ընդհանուր!E17</f>
        <v>500</v>
      </c>
      <c r="G6" s="485">
        <f>+ընդհանուր!F17</f>
        <v>525</v>
      </c>
      <c r="H6" s="485">
        <f>+ընդհանուր!G17</f>
        <v>500</v>
      </c>
      <c r="I6" s="485">
        <f>+ընդհանուր!H17</f>
        <v>550</v>
      </c>
      <c r="J6" s="485">
        <f>+ընդհանուր!I17</f>
        <v>625</v>
      </c>
      <c r="K6" s="485">
        <f>+ընդհանուր!J17</f>
        <v>800</v>
      </c>
      <c r="L6" s="485">
        <f>+ընդհանուր!K17</f>
        <v>1900</v>
      </c>
    </row>
    <row r="7" spans="1:14">
      <c r="E7" s="23"/>
      <c r="F7" s="611">
        <f>SUMPRODUCT($D27:$D174,F27:F174)*F$1/1000000000*F24</f>
        <v>99.787631164619995</v>
      </c>
      <c r="G7" s="611">
        <f>SUMPRODUCT($D27:$D174,G27:G174)*G$1/1000000000*G24</f>
        <v>108.8326403749836</v>
      </c>
      <c r="H7" s="227">
        <f>SUMPRODUCT($D27:$D174,H27:H174)*H$1/1000000000*H24</f>
        <v>107.37196822863986</v>
      </c>
      <c r="I7" s="227">
        <f t="shared" ref="I7:L7" si="0">SUMPRODUCT($D27:$D174,I27:I174)*I$1/1000000000*I24</f>
        <v>112.47727331615849</v>
      </c>
      <c r="J7" s="227">
        <f t="shared" si="0"/>
        <v>115.24988456586</v>
      </c>
      <c r="K7" s="227">
        <f t="shared" si="0"/>
        <v>127.76268427164001</v>
      </c>
      <c r="L7" s="227">
        <f t="shared" si="0"/>
        <v>396.72675926400001</v>
      </c>
      <c r="M7" s="23"/>
      <c r="N7" s="23"/>
    </row>
    <row r="8" spans="1:14" ht="34.9" hidden="1" customHeight="1" outlineLevel="1">
      <c r="A8" s="25" t="s">
        <v>28</v>
      </c>
      <c r="E8" s="201" t="s">
        <v>178</v>
      </c>
      <c r="F8" s="487" t="s">
        <v>13</v>
      </c>
      <c r="G8" s="487">
        <v>2022</v>
      </c>
      <c r="H8" s="483" t="s">
        <v>217</v>
      </c>
      <c r="I8" s="483" t="s">
        <v>218</v>
      </c>
      <c r="J8" s="483" t="s">
        <v>219</v>
      </c>
      <c r="K8" s="483" t="s">
        <v>220</v>
      </c>
      <c r="L8" s="483" t="s">
        <v>221</v>
      </c>
      <c r="M8" s="483"/>
      <c r="N8" s="484"/>
    </row>
    <row r="9" spans="1:14" ht="18" hidden="1" customHeight="1" outlineLevel="1">
      <c r="A9" s="25" t="s">
        <v>29</v>
      </c>
      <c r="E9" s="202" t="s">
        <v>180</v>
      </c>
      <c r="F9" s="488">
        <f>SUM(D27:D174)</f>
        <v>355131</v>
      </c>
      <c r="G9" s="488" t="e">
        <f>SUMPRODUCT($D27:$D174,#REF!)/SUM($D27:$D174)</f>
        <v>#REF!</v>
      </c>
      <c r="H9" s="488">
        <f>SUMPRODUCT($D27:$D174,F27:F174)/SUM($D27:$D174)</f>
        <v>46831.371693178007</v>
      </c>
      <c r="I9" s="488">
        <f>SUMPRODUCT($D27:$D174,G27:G174)/SUM($D27:$D174)</f>
        <v>50822.177568615523</v>
      </c>
      <c r="J9" s="489" t="e">
        <f>+#REF!/G9-1</f>
        <v>#REF!</v>
      </c>
      <c r="K9" s="489"/>
      <c r="L9" s="489" t="e">
        <f>+#REF!/G9-1</f>
        <v>#REF!</v>
      </c>
      <c r="M9" s="489"/>
      <c r="N9" s="489"/>
    </row>
    <row r="10" spans="1:14" ht="18" hidden="1" customHeight="1" outlineLevel="1">
      <c r="A10" s="23" t="s">
        <v>187</v>
      </c>
      <c r="E10" s="197" t="s">
        <v>170</v>
      </c>
      <c r="F10" s="488">
        <f>SUMIF(A27:A174,"&lt;11",D27:D174)</f>
        <v>1445</v>
      </c>
      <c r="G10" s="485" t="e">
        <f>SUMPRODUCT($D27:$D27,#REF!)/SUM($D27:$D27)</f>
        <v>#REF!</v>
      </c>
      <c r="H10" s="485">
        <f>SUMPRODUCT($D27:$D27,F27:F27)/SUM($D27:$D27)</f>
        <v>31600</v>
      </c>
      <c r="I10" s="485">
        <f>SUMPRODUCT($D27:$D27,G27:G27)/SUM($D27:$D27)</f>
        <v>36000</v>
      </c>
      <c r="J10" s="225" t="e">
        <f>+#REF!/G10-1</f>
        <v>#REF!</v>
      </c>
      <c r="K10" s="225"/>
      <c r="L10" s="225" t="e">
        <f>+#REF!/G10-1</f>
        <v>#REF!</v>
      </c>
      <c r="M10" s="225"/>
      <c r="N10" s="225"/>
    </row>
    <row r="11" spans="1:14" ht="18" hidden="1" customHeight="1" outlineLevel="1">
      <c r="E11" s="197" t="s">
        <v>171</v>
      </c>
      <c r="F11" s="488">
        <f>SUMIF(A27:A174,"&lt;21",D27:D174)</f>
        <v>78571</v>
      </c>
      <c r="G11" s="485" t="e">
        <f>SUMPRODUCT($D27:$D37,#REF!)/SUM($D27:$D37)</f>
        <v>#REF!</v>
      </c>
      <c r="H11" s="485">
        <f>SUMPRODUCT($D27:$D37,F27:F37)/SUM($D27:$D37)</f>
        <v>34517.502642705324</v>
      </c>
      <c r="I11" s="485">
        <f>SUMPRODUCT($D27:$D37,G27:G37)/SUM($D27:$D37)</f>
        <v>39552.76268597829</v>
      </c>
      <c r="J11" s="225" t="e">
        <f>+#REF!/G11-1</f>
        <v>#REF!</v>
      </c>
      <c r="K11" s="225"/>
      <c r="L11" s="225" t="e">
        <f>+#REF!/G11-1</f>
        <v>#REF!</v>
      </c>
      <c r="M11" s="225"/>
      <c r="N11" s="225"/>
    </row>
    <row r="12" spans="1:14" ht="18" hidden="1" customHeight="1" outlineLevel="1">
      <c r="A12" s="25"/>
      <c r="E12" s="197" t="s">
        <v>172</v>
      </c>
      <c r="F12" s="488">
        <f>SUMIF(A27:A174,"&lt;31",D27:D174)</f>
        <v>174679</v>
      </c>
      <c r="G12" s="485" t="e">
        <f>SUMPRODUCT($D27:$D47,#REF!)/SUM($D27:$D47)</f>
        <v>#REF!</v>
      </c>
      <c r="H12" s="485">
        <f>SUMPRODUCT($D27:$D47,F27:F47)/SUM($D27:$D47)</f>
        <v>38077.19156057683</v>
      </c>
      <c r="I12" s="485">
        <f>SUMPRODUCT($D27:$D47,G27:G47)/SUM($D27:$D47)</f>
        <v>42804.324054408375</v>
      </c>
      <c r="J12" s="225" t="e">
        <f>+#REF!/G12-1</f>
        <v>#REF!</v>
      </c>
      <c r="K12" s="225"/>
      <c r="L12" s="225" t="e">
        <f>+#REF!/G12-1</f>
        <v>#REF!</v>
      </c>
      <c r="M12" s="225"/>
      <c r="N12" s="225"/>
    </row>
    <row r="13" spans="1:14" ht="18" hidden="1" customHeight="1" outlineLevel="1">
      <c r="A13" s="25"/>
      <c r="E13" s="197" t="s">
        <v>173</v>
      </c>
      <c r="F13" s="488">
        <f>SUMIF(A27:A174,"&lt;41",D27:D174)</f>
        <v>266432</v>
      </c>
      <c r="G13" s="485" t="e">
        <f>SUMPRODUCT($D27:$D57,#REF!)/SUM($D27:$D57)</f>
        <v>#REF!</v>
      </c>
      <c r="H13" s="485">
        <f>SUMPRODUCT($D27:$D57,F27:F57)/SUM($D27:$D57)</f>
        <v>41773.967069458624</v>
      </c>
      <c r="I13" s="485">
        <f>SUMPRODUCT($D27:$D57,G27:G57)/SUM($D27:$D57)</f>
        <v>46212.726996006488</v>
      </c>
      <c r="J13" s="225" t="e">
        <f>+#REF!/G13-1</f>
        <v>#REF!</v>
      </c>
      <c r="K13" s="225"/>
      <c r="L13" s="225" t="e">
        <f>+#REF!/G13-1</f>
        <v>#REF!</v>
      </c>
      <c r="M13" s="225"/>
      <c r="N13" s="225"/>
    </row>
    <row r="14" spans="1:14" ht="18" hidden="1" customHeight="1" outlineLevel="1">
      <c r="A14" s="25"/>
      <c r="E14" s="197" t="s">
        <v>191</v>
      </c>
      <c r="F14" s="488">
        <f>SUMIF(A27:A174,"&lt;76",D27:D174)</f>
        <v>354739</v>
      </c>
      <c r="G14" s="485" t="e">
        <f>SUMPRODUCT($D58:$D92,#REF!)/SUM($D58:$D92)</f>
        <v>#REF!</v>
      </c>
      <c r="H14" s="485">
        <f>SUMPRODUCT($D58:$D92,F58:F92)/SUM($D58:$D92)</f>
        <v>61643.647260013364</v>
      </c>
      <c r="I14" s="485">
        <f>SUMPRODUCT($D58:$D92,G58:G92)/SUM($D58:$D92)</f>
        <v>64300.384512213073</v>
      </c>
      <c r="J14" s="225" t="e">
        <f>+#REF!/G14-1</f>
        <v>#REF!</v>
      </c>
      <c r="K14" s="225"/>
      <c r="L14" s="225" t="e">
        <f>+#REF!/G14-1</f>
        <v>#REF!</v>
      </c>
      <c r="M14" s="225"/>
      <c r="N14" s="225"/>
    </row>
    <row r="15" spans="1:14" ht="18" hidden="1" customHeight="1" outlineLevel="1">
      <c r="A15" s="25"/>
      <c r="E15" s="197" t="s">
        <v>192</v>
      </c>
      <c r="F15" s="488">
        <f>SUMIF(A27:A174,"&gt;75",D27:D174)</f>
        <v>392</v>
      </c>
      <c r="G15" s="485" t="e">
        <f>SUMPRODUCT($D93:$D174,#REF!)/SUM($D93:$D174)</f>
        <v>#REF!</v>
      </c>
      <c r="H15" s="485">
        <f>SUMPRODUCT($D93:$D174,F93:F174)/SUM($D93:$D174)</f>
        <v>147409.96920918368</v>
      </c>
      <c r="I15" s="485">
        <f>SUMPRODUCT($D93:$D174,G93:G174)/SUM($D93:$D174)</f>
        <v>147467.87755102041</v>
      </c>
      <c r="J15" s="225" t="e">
        <f>+#REF!/G15-1</f>
        <v>#REF!</v>
      </c>
      <c r="K15" s="225"/>
      <c r="L15" s="225" t="e">
        <f>+#REF!/G15-1</f>
        <v>#REF!</v>
      </c>
      <c r="M15" s="225"/>
      <c r="N15" s="225"/>
    </row>
    <row r="16" spans="1:14" ht="17.45" hidden="1" customHeight="1" outlineLevel="1">
      <c r="B16" s="23"/>
      <c r="E16" s="23"/>
    </row>
    <row r="17" spans="1:15" ht="18" hidden="1" customHeight="1" outlineLevel="1">
      <c r="E17" s="201" t="s">
        <v>178</v>
      </c>
      <c r="F17" s="490" t="s">
        <v>13</v>
      </c>
      <c r="G17" s="491">
        <v>2022</v>
      </c>
      <c r="H17" s="492" t="s">
        <v>179</v>
      </c>
      <c r="I17" s="492"/>
      <c r="J17" s="491">
        <v>2023</v>
      </c>
      <c r="K17" s="491"/>
      <c r="L17" s="491" t="s">
        <v>181</v>
      </c>
      <c r="M17" s="491"/>
      <c r="N17" s="491"/>
      <c r="O17" s="226"/>
    </row>
    <row r="18" spans="1:15" ht="18" hidden="1" customHeight="1" outlineLevel="1">
      <c r="E18" s="202" t="s">
        <v>180</v>
      </c>
      <c r="F18" s="488">
        <f>SUM(D27:D174)</f>
        <v>355131</v>
      </c>
      <c r="G18" s="488" t="e">
        <f>SUMPRODUCT($D27:$D174,#REF!)/SUM($D27:$D174)</f>
        <v>#REF!</v>
      </c>
      <c r="H18" s="488">
        <f>SUMPRODUCT($D27:$D174,F27:F174)/SUM($D27:$D174)</f>
        <v>46831.371693178007</v>
      </c>
      <c r="I18" s="488"/>
      <c r="J18" s="493" t="e">
        <f>#REF!-#REF!</f>
        <v>#REF!</v>
      </c>
      <c r="K18" s="493"/>
      <c r="L18" s="493" t="e">
        <f>#REF!/G18-100%</f>
        <v>#REF!</v>
      </c>
      <c r="M18" s="493"/>
      <c r="N18" s="493"/>
      <c r="O18" s="204"/>
    </row>
    <row r="19" spans="1:15" ht="18" hidden="1" customHeight="1" outlineLevel="1">
      <c r="E19" s="197" t="s">
        <v>170</v>
      </c>
      <c r="F19" s="488">
        <f>SUMIF(A27:A174,"&lt;11",D27:D174)</f>
        <v>1445</v>
      </c>
      <c r="G19" s="485" t="e">
        <f>SUMPRODUCT($D27:$D27,#REF!)/SUM($D27:$D27)</f>
        <v>#REF!</v>
      </c>
      <c r="H19" s="485">
        <f>SUMPRODUCT($D27:$D27,F27:F27)/SUM($D27:$D27)</f>
        <v>31600</v>
      </c>
      <c r="I19" s="485"/>
      <c r="J19" s="494" t="e">
        <f>#REF!-#REF!</f>
        <v>#REF!</v>
      </c>
      <c r="K19" s="494"/>
      <c r="L19" s="494" t="e">
        <f>#REF!/G19-100%</f>
        <v>#REF!</v>
      </c>
      <c r="M19" s="494"/>
      <c r="N19" s="494"/>
      <c r="O19" s="205"/>
    </row>
    <row r="20" spans="1:15" ht="18" hidden="1" customHeight="1" outlineLevel="1">
      <c r="E20" s="197" t="s">
        <v>177</v>
      </c>
      <c r="F20" s="488">
        <f>SUMIFS(D27:D174,A27:A174,"&gt;10",A27:A174,"&lt;21")</f>
        <v>77126</v>
      </c>
      <c r="G20" s="485" t="e">
        <f>SUMPRODUCT($D28:$D37,#REF!)/SUM($D28:$D37)</f>
        <v>#REF!</v>
      </c>
      <c r="H20" s="485">
        <f>SUMPRODUCT($D28:$D37,F28:F37)/SUM($D28:$D37)</f>
        <v>34572.163733889996</v>
      </c>
      <c r="I20" s="485"/>
      <c r="J20" s="494" t="e">
        <f>#REF!-#REF!</f>
        <v>#REF!</v>
      </c>
      <c r="K20" s="494"/>
      <c r="L20" s="494" t="e">
        <f>#REF!/G20-100%</f>
        <v>#REF!</v>
      </c>
      <c r="M20" s="494"/>
      <c r="N20" s="494"/>
      <c r="O20" s="205"/>
    </row>
    <row r="21" spans="1:15" ht="18" hidden="1" customHeight="1" outlineLevel="1">
      <c r="E21" s="197" t="s">
        <v>174</v>
      </c>
      <c r="F21" s="488">
        <f>SUMIFS(D27:D174,A27:A174,"&gt;20",A27:A174,"&lt;31")</f>
        <v>96108</v>
      </c>
      <c r="G21" s="485" t="e">
        <f>SUMPRODUCT($D38:$D47,#REF!)/SUM($D38:$D47)</f>
        <v>#REF!</v>
      </c>
      <c r="H21" s="485">
        <f>SUMPRODUCT($D38:$D47,F38:F47)/SUM($D38:$D47)</f>
        <v>40987.33762506763</v>
      </c>
      <c r="I21" s="485"/>
      <c r="J21" s="494" t="e">
        <f>#REF!-#REF!</f>
        <v>#REF!</v>
      </c>
      <c r="K21" s="494"/>
      <c r="L21" s="494" t="e">
        <f>#REF!/G21-100%</f>
        <v>#REF!</v>
      </c>
      <c r="M21" s="494"/>
      <c r="N21" s="494"/>
      <c r="O21" s="205"/>
    </row>
    <row r="22" spans="1:15" ht="18" hidden="1" customHeight="1" outlineLevel="1">
      <c r="E22" s="197" t="s">
        <v>175</v>
      </c>
      <c r="F22" s="488">
        <f>SUMIFS(D27:D174,A27:A174,"&gt;30",A27:A174,"&lt;41")</f>
        <v>91753</v>
      </c>
      <c r="G22" s="485" t="e">
        <f>SUMPRODUCT($D48:$D57,#REF!)/SUM($D48:$D57)</f>
        <v>#REF!</v>
      </c>
      <c r="H22" s="485">
        <f>SUMPRODUCT($D48:$D57,F48:F57)/SUM($D48:$D57)</f>
        <v>48811.873722276112</v>
      </c>
      <c r="I22" s="485"/>
      <c r="J22" s="494" t="e">
        <f>#REF!-#REF!</f>
        <v>#REF!</v>
      </c>
      <c r="K22" s="494"/>
      <c r="L22" s="494" t="e">
        <f>#REF!/G22-100%</f>
        <v>#REF!</v>
      </c>
      <c r="M22" s="494"/>
      <c r="N22" s="494"/>
      <c r="O22" s="205"/>
    </row>
    <row r="23" spans="1:15" ht="18" hidden="1" customHeight="1" outlineLevel="1">
      <c r="E23" s="197" t="s">
        <v>176</v>
      </c>
      <c r="F23" s="488">
        <f>SUMIF(A35:A182,"&gt;40",D35:D182)</f>
        <v>88699</v>
      </c>
      <c r="G23" s="485" t="e">
        <f>SUMPRODUCT($D58:$D174,#REF!)/SUM($D58:$D174)</f>
        <v>#REF!</v>
      </c>
      <c r="H23" s="485">
        <f>SUMPRODUCT($D58:$D174,F58:F174)/SUM($D58:$D174)</f>
        <v>62022.686462305093</v>
      </c>
      <c r="I23" s="485"/>
      <c r="J23" s="494" t="e">
        <f>#REF!-#REF!</f>
        <v>#REF!</v>
      </c>
      <c r="K23" s="494"/>
      <c r="L23" s="494" t="e">
        <f>#REF!/G23-100%</f>
        <v>#REF!</v>
      </c>
      <c r="M23" s="494"/>
      <c r="N23" s="494"/>
      <c r="O23" s="205"/>
    </row>
    <row r="24" spans="1:15" collapsed="1">
      <c r="B24" s="23" t="s">
        <v>273</v>
      </c>
      <c r="E24" s="23"/>
      <c r="F24" s="495">
        <v>1</v>
      </c>
      <c r="G24" s="495">
        <v>1.0049999999999999</v>
      </c>
      <c r="H24" s="495">
        <f>+G24</f>
        <v>1.0049999999999999</v>
      </c>
      <c r="I24" s="495">
        <f>+H24</f>
        <v>1.0049999999999999</v>
      </c>
      <c r="J24" s="495">
        <v>0.99</v>
      </c>
      <c r="K24" s="495">
        <v>0.99</v>
      </c>
      <c r="L24" s="495">
        <v>1</v>
      </c>
    </row>
    <row r="25" spans="1:15" ht="34.5">
      <c r="A25" s="26"/>
      <c r="B25" s="41"/>
      <c r="C25" s="32"/>
      <c r="D25" s="636" t="s">
        <v>26</v>
      </c>
      <c r="E25" s="637"/>
      <c r="F25" s="354" t="s">
        <v>217</v>
      </c>
      <c r="G25" s="354" t="s">
        <v>218</v>
      </c>
      <c r="H25" s="354" t="s">
        <v>219</v>
      </c>
      <c r="I25" s="354" t="s">
        <v>220</v>
      </c>
      <c r="J25" s="354" t="s">
        <v>221</v>
      </c>
      <c r="K25" s="354" t="s">
        <v>222</v>
      </c>
      <c r="L25" s="223">
        <v>2026</v>
      </c>
    </row>
    <row r="26" spans="1:15" s="28" customFormat="1" ht="35.1" customHeight="1">
      <c r="A26" s="191" t="s">
        <v>0</v>
      </c>
      <c r="B26" s="191" t="s">
        <v>38</v>
      </c>
      <c r="C26" s="191" t="s">
        <v>30</v>
      </c>
      <c r="D26" s="191" t="s">
        <v>1</v>
      </c>
      <c r="E26" s="191" t="s">
        <v>7</v>
      </c>
      <c r="F26" s="502" t="s">
        <v>31</v>
      </c>
      <c r="G26" s="502" t="s">
        <v>31</v>
      </c>
      <c r="H26" s="502" t="s">
        <v>31</v>
      </c>
      <c r="I26" s="502" t="s">
        <v>31</v>
      </c>
      <c r="J26" s="502" t="s">
        <v>31</v>
      </c>
      <c r="K26" s="502" t="s">
        <v>31</v>
      </c>
      <c r="L26" s="502" t="s">
        <v>31</v>
      </c>
      <c r="M26" s="497"/>
      <c r="N26" s="497"/>
    </row>
    <row r="27" spans="1:15">
      <c r="A27" s="479">
        <v>10</v>
      </c>
      <c r="B27" s="479">
        <v>31600</v>
      </c>
      <c r="C27" s="504">
        <v>1</v>
      </c>
      <c r="D27" s="479">
        <v>1445</v>
      </c>
      <c r="E27" s="503">
        <v>31600</v>
      </c>
      <c r="F27" s="224">
        <f t="shared" ref="F27:L27" si="1">+IF(F$3+$A27*F$5*$C27&lt;F$4,F$4,F$3+$A27*F$5*$C27)</f>
        <v>31600</v>
      </c>
      <c r="G27" s="224">
        <f t="shared" si="1"/>
        <v>36000</v>
      </c>
      <c r="H27" s="224">
        <f t="shared" si="1"/>
        <v>36000</v>
      </c>
      <c r="I27" s="224">
        <f t="shared" si="1"/>
        <v>37000</v>
      </c>
      <c r="J27" s="224">
        <f t="shared" si="1"/>
        <v>37000</v>
      </c>
      <c r="K27" s="224">
        <f t="shared" si="1"/>
        <v>38000</v>
      </c>
      <c r="L27" s="224">
        <f t="shared" si="1"/>
        <v>39500</v>
      </c>
      <c r="M27" s="495"/>
      <c r="N27" s="498"/>
    </row>
    <row r="28" spans="1:15">
      <c r="A28" s="479">
        <v>11</v>
      </c>
      <c r="B28" s="480">
        <v>31600</v>
      </c>
      <c r="C28" s="504">
        <f>+C27+(A28-10)*0.01</f>
        <v>1.01</v>
      </c>
      <c r="D28" s="479">
        <v>2380</v>
      </c>
      <c r="E28" s="192">
        <v>31600</v>
      </c>
      <c r="F28" s="224">
        <f t="shared" ref="F28:L28" si="2">IF(F$3+(F$5*10+($A28-10)*F$6)*$C28&lt;$F$4,$F$4,F$3+(F$5*10+($A28-10)*F$6)*$C28)</f>
        <v>31600</v>
      </c>
      <c r="G28" s="224">
        <f t="shared" si="2"/>
        <v>36530.25</v>
      </c>
      <c r="H28" s="224">
        <f t="shared" si="2"/>
        <v>36505</v>
      </c>
      <c r="I28" s="224">
        <f t="shared" si="2"/>
        <v>37555.5</v>
      </c>
      <c r="J28" s="224">
        <f t="shared" si="2"/>
        <v>37631.25</v>
      </c>
      <c r="K28" s="224">
        <f t="shared" si="2"/>
        <v>38808</v>
      </c>
      <c r="L28" s="224">
        <f t="shared" si="2"/>
        <v>41419</v>
      </c>
      <c r="M28" s="495"/>
      <c r="N28" s="499"/>
    </row>
    <row r="29" spans="1:15">
      <c r="A29" s="479">
        <v>12</v>
      </c>
      <c r="B29" s="479">
        <v>31710</v>
      </c>
      <c r="C29" s="504">
        <f t="shared" ref="C29" si="3">+C28+($A$28-10)*0.01</f>
        <v>1.02</v>
      </c>
      <c r="D29" s="479">
        <v>3871</v>
      </c>
      <c r="E29" s="192">
        <v>31709.23</v>
      </c>
      <c r="F29" s="224">
        <f t="shared" ref="F29:L38" si="4">IF(F$3+(F$5*10+($A29-10)*F$6)*$C29&lt;$E29,$E29,F$3+(F$5*10+($A29-10)*F$6)*$C29)</f>
        <v>31710</v>
      </c>
      <c r="G29" s="224">
        <f t="shared" si="4"/>
        <v>37071</v>
      </c>
      <c r="H29" s="224">
        <f t="shared" si="4"/>
        <v>37020</v>
      </c>
      <c r="I29" s="224">
        <f t="shared" si="4"/>
        <v>38122</v>
      </c>
      <c r="J29" s="224">
        <f t="shared" si="4"/>
        <v>38275</v>
      </c>
      <c r="K29" s="224">
        <f t="shared" si="4"/>
        <v>39632</v>
      </c>
      <c r="L29" s="224">
        <f t="shared" si="4"/>
        <v>43376</v>
      </c>
      <c r="M29" s="495"/>
      <c r="N29" s="499"/>
    </row>
    <row r="30" spans="1:15">
      <c r="A30" s="479">
        <v>13</v>
      </c>
      <c r="B30" s="479">
        <v>32330</v>
      </c>
      <c r="C30" s="504">
        <f t="shared" ref="C30:C57" si="5">+C29+($A$28-10)*0.01</f>
        <v>1.03</v>
      </c>
      <c r="D30" s="479">
        <v>5821</v>
      </c>
      <c r="E30" s="192">
        <v>32329.89</v>
      </c>
      <c r="F30" s="224">
        <f t="shared" si="4"/>
        <v>32330</v>
      </c>
      <c r="G30" s="224">
        <f t="shared" si="4"/>
        <v>37622.25</v>
      </c>
      <c r="H30" s="224">
        <f t="shared" si="4"/>
        <v>37545</v>
      </c>
      <c r="I30" s="224">
        <f t="shared" si="4"/>
        <v>38699.5</v>
      </c>
      <c r="J30" s="224">
        <f t="shared" si="4"/>
        <v>38931.25</v>
      </c>
      <c r="K30" s="224">
        <f t="shared" si="4"/>
        <v>40472</v>
      </c>
      <c r="L30" s="224">
        <f t="shared" si="4"/>
        <v>45371</v>
      </c>
      <c r="M30" s="495"/>
      <c r="N30" s="500"/>
    </row>
    <row r="31" spans="1:15">
      <c r="A31" s="479">
        <v>14</v>
      </c>
      <c r="B31" s="479">
        <v>32960</v>
      </c>
      <c r="C31" s="504">
        <f t="shared" si="5"/>
        <v>1.04</v>
      </c>
      <c r="D31" s="479">
        <v>7371</v>
      </c>
      <c r="E31" s="192">
        <v>32960.36</v>
      </c>
      <c r="F31" s="224">
        <f t="shared" si="4"/>
        <v>32960.36</v>
      </c>
      <c r="G31" s="224">
        <f t="shared" si="4"/>
        <v>38184</v>
      </c>
      <c r="H31" s="224">
        <f t="shared" si="4"/>
        <v>38080</v>
      </c>
      <c r="I31" s="224">
        <f t="shared" si="4"/>
        <v>39288</v>
      </c>
      <c r="J31" s="224">
        <f t="shared" si="4"/>
        <v>39600</v>
      </c>
      <c r="K31" s="224">
        <f t="shared" si="4"/>
        <v>41328</v>
      </c>
      <c r="L31" s="224">
        <f t="shared" si="4"/>
        <v>47404</v>
      </c>
      <c r="M31" s="495"/>
      <c r="N31" s="500"/>
    </row>
    <row r="32" spans="1:15">
      <c r="A32" s="479">
        <v>15</v>
      </c>
      <c r="B32" s="479">
        <v>33600</v>
      </c>
      <c r="C32" s="504">
        <f t="shared" si="5"/>
        <v>1.05</v>
      </c>
      <c r="D32" s="479">
        <v>8594</v>
      </c>
      <c r="E32" s="192">
        <v>33600</v>
      </c>
      <c r="F32" s="224">
        <f t="shared" si="4"/>
        <v>33600</v>
      </c>
      <c r="G32" s="224">
        <f t="shared" si="4"/>
        <v>38756.25</v>
      </c>
      <c r="H32" s="224">
        <f t="shared" si="4"/>
        <v>38625</v>
      </c>
      <c r="I32" s="224">
        <f t="shared" si="4"/>
        <v>39887.5</v>
      </c>
      <c r="J32" s="224">
        <f t="shared" si="4"/>
        <v>40281.25</v>
      </c>
      <c r="K32" s="224">
        <f t="shared" si="4"/>
        <v>42200</v>
      </c>
      <c r="L32" s="224">
        <f t="shared" si="4"/>
        <v>49475</v>
      </c>
      <c r="M32" s="495"/>
      <c r="N32" s="500"/>
    </row>
    <row r="33" spans="1:14">
      <c r="A33" s="479">
        <v>16</v>
      </c>
      <c r="B33" s="479">
        <v>34250</v>
      </c>
      <c r="C33" s="504">
        <f t="shared" si="5"/>
        <v>1.06</v>
      </c>
      <c r="D33" s="479">
        <v>9393</v>
      </c>
      <c r="E33" s="192">
        <v>34249.4</v>
      </c>
      <c r="F33" s="224">
        <f t="shared" si="4"/>
        <v>34250</v>
      </c>
      <c r="G33" s="224">
        <f t="shared" si="4"/>
        <v>39339</v>
      </c>
      <c r="H33" s="224">
        <f t="shared" si="4"/>
        <v>39180</v>
      </c>
      <c r="I33" s="224">
        <f t="shared" si="4"/>
        <v>40498</v>
      </c>
      <c r="J33" s="224">
        <f t="shared" si="4"/>
        <v>40975</v>
      </c>
      <c r="K33" s="224">
        <f t="shared" si="4"/>
        <v>43088</v>
      </c>
      <c r="L33" s="224">
        <f t="shared" si="4"/>
        <v>51584</v>
      </c>
      <c r="M33" s="495"/>
      <c r="N33" s="500"/>
    </row>
    <row r="34" spans="1:14">
      <c r="A34" s="479">
        <v>17</v>
      </c>
      <c r="B34" s="479">
        <v>34910</v>
      </c>
      <c r="C34" s="504">
        <f t="shared" si="5"/>
        <v>1.07</v>
      </c>
      <c r="D34" s="479">
        <v>9786</v>
      </c>
      <c r="E34" s="192">
        <v>34909.870000000003</v>
      </c>
      <c r="F34" s="224">
        <f t="shared" si="4"/>
        <v>34910</v>
      </c>
      <c r="G34" s="224">
        <f t="shared" si="4"/>
        <v>39932.25</v>
      </c>
      <c r="H34" s="224">
        <f t="shared" si="4"/>
        <v>39745</v>
      </c>
      <c r="I34" s="224">
        <f t="shared" si="4"/>
        <v>41119.5</v>
      </c>
      <c r="J34" s="224">
        <f t="shared" si="4"/>
        <v>41681.25</v>
      </c>
      <c r="K34" s="224">
        <f t="shared" si="4"/>
        <v>43992</v>
      </c>
      <c r="L34" s="224">
        <f t="shared" si="4"/>
        <v>53731</v>
      </c>
      <c r="M34" s="495"/>
      <c r="N34" s="500"/>
    </row>
    <row r="35" spans="1:14">
      <c r="A35" s="479">
        <v>18</v>
      </c>
      <c r="B35" s="479">
        <v>35580</v>
      </c>
      <c r="C35" s="504">
        <f t="shared" si="5"/>
        <v>1.08</v>
      </c>
      <c r="D35" s="479">
        <v>9673</v>
      </c>
      <c r="E35" s="192">
        <v>35579.449999999997</v>
      </c>
      <c r="F35" s="224">
        <f t="shared" si="4"/>
        <v>35580</v>
      </c>
      <c r="G35" s="224">
        <f t="shared" si="4"/>
        <v>40536</v>
      </c>
      <c r="H35" s="224">
        <f t="shared" si="4"/>
        <v>40320</v>
      </c>
      <c r="I35" s="224">
        <f t="shared" si="4"/>
        <v>41752</v>
      </c>
      <c r="J35" s="224">
        <f t="shared" si="4"/>
        <v>42400</v>
      </c>
      <c r="K35" s="224">
        <f t="shared" si="4"/>
        <v>44912</v>
      </c>
      <c r="L35" s="224">
        <f t="shared" si="4"/>
        <v>55916</v>
      </c>
      <c r="M35" s="495"/>
      <c r="N35" s="500"/>
    </row>
    <row r="36" spans="1:14">
      <c r="A36" s="479">
        <v>19</v>
      </c>
      <c r="B36" s="479">
        <v>36260</v>
      </c>
      <c r="C36" s="504">
        <f t="shared" si="5"/>
        <v>1.0900000000000001</v>
      </c>
      <c r="D36" s="479">
        <v>9735</v>
      </c>
      <c r="E36" s="192">
        <v>36259.599999999999</v>
      </c>
      <c r="F36" s="224">
        <f t="shared" si="4"/>
        <v>36260</v>
      </c>
      <c r="G36" s="224">
        <f t="shared" si="4"/>
        <v>41150.25</v>
      </c>
      <c r="H36" s="224">
        <f t="shared" si="4"/>
        <v>40905</v>
      </c>
      <c r="I36" s="224">
        <f t="shared" si="4"/>
        <v>42395.5</v>
      </c>
      <c r="J36" s="224">
        <f t="shared" si="4"/>
        <v>43131.25</v>
      </c>
      <c r="K36" s="224">
        <f t="shared" si="4"/>
        <v>45848</v>
      </c>
      <c r="L36" s="224">
        <f t="shared" si="4"/>
        <v>58139</v>
      </c>
      <c r="M36" s="495"/>
    </row>
    <row r="37" spans="1:14">
      <c r="A37" s="479">
        <v>20</v>
      </c>
      <c r="B37" s="479">
        <v>36950</v>
      </c>
      <c r="C37" s="504">
        <f t="shared" si="5"/>
        <v>1.1000000000000001</v>
      </c>
      <c r="D37" s="479">
        <v>10502</v>
      </c>
      <c r="E37" s="192">
        <v>36950.79</v>
      </c>
      <c r="F37" s="224">
        <f t="shared" si="4"/>
        <v>36950.79</v>
      </c>
      <c r="G37" s="224">
        <f t="shared" si="4"/>
        <v>41775</v>
      </c>
      <c r="H37" s="224">
        <f t="shared" si="4"/>
        <v>41500</v>
      </c>
      <c r="I37" s="224">
        <f t="shared" si="4"/>
        <v>43050</v>
      </c>
      <c r="J37" s="224">
        <f t="shared" si="4"/>
        <v>43875</v>
      </c>
      <c r="K37" s="224">
        <f t="shared" si="4"/>
        <v>46800</v>
      </c>
      <c r="L37" s="224">
        <f t="shared" si="4"/>
        <v>60400</v>
      </c>
      <c r="M37" s="495"/>
    </row>
    <row r="38" spans="1:14">
      <c r="A38" s="479">
        <v>21</v>
      </c>
      <c r="B38" s="479">
        <v>37650</v>
      </c>
      <c r="C38" s="504">
        <f t="shared" si="5"/>
        <v>1.1100000000000001</v>
      </c>
      <c r="D38" s="479">
        <v>9692</v>
      </c>
      <c r="E38" s="192">
        <v>37649.65</v>
      </c>
      <c r="F38" s="224">
        <f t="shared" si="4"/>
        <v>37650</v>
      </c>
      <c r="G38" s="224">
        <f t="shared" si="4"/>
        <v>42410.25</v>
      </c>
      <c r="H38" s="224">
        <f t="shared" si="4"/>
        <v>42105</v>
      </c>
      <c r="I38" s="224">
        <f t="shared" si="4"/>
        <v>43715.5</v>
      </c>
      <c r="J38" s="224">
        <f t="shared" si="4"/>
        <v>44631.25</v>
      </c>
      <c r="K38" s="224">
        <f t="shared" si="4"/>
        <v>47768</v>
      </c>
      <c r="L38" s="224">
        <f t="shared" si="4"/>
        <v>62699</v>
      </c>
      <c r="M38" s="495"/>
    </row>
    <row r="39" spans="1:14">
      <c r="A39" s="479">
        <v>22</v>
      </c>
      <c r="B39" s="479">
        <v>38360</v>
      </c>
      <c r="C39" s="504">
        <f t="shared" si="5"/>
        <v>1.1200000000000001</v>
      </c>
      <c r="D39" s="479">
        <v>9346</v>
      </c>
      <c r="E39" s="192">
        <v>38359.760000000002</v>
      </c>
      <c r="F39" s="224">
        <f t="shared" ref="F39:L48" si="6">IF(F$3+(F$5*10+($A39-10)*F$6)*$C39&lt;$E39,$E39,F$3+(F$5*10+($A39-10)*F$6)*$C39)</f>
        <v>38360</v>
      </c>
      <c r="G39" s="224">
        <f t="shared" si="6"/>
        <v>43056</v>
      </c>
      <c r="H39" s="224">
        <f t="shared" si="6"/>
        <v>42720</v>
      </c>
      <c r="I39" s="224">
        <f t="shared" si="6"/>
        <v>44392</v>
      </c>
      <c r="J39" s="224">
        <f t="shared" si="6"/>
        <v>45400</v>
      </c>
      <c r="K39" s="224">
        <f t="shared" si="6"/>
        <v>48752</v>
      </c>
      <c r="L39" s="224">
        <f t="shared" si="6"/>
        <v>65036</v>
      </c>
      <c r="M39" s="495"/>
    </row>
    <row r="40" spans="1:14">
      <c r="A40" s="479">
        <v>23</v>
      </c>
      <c r="B40" s="479">
        <v>39080</v>
      </c>
      <c r="C40" s="504">
        <f t="shared" si="5"/>
        <v>1.1300000000000001</v>
      </c>
      <c r="D40" s="479">
        <v>9247</v>
      </c>
      <c r="E40" s="192">
        <v>39080.239999999998</v>
      </c>
      <c r="F40" s="224">
        <f t="shared" si="6"/>
        <v>39080.239999999998</v>
      </c>
      <c r="G40" s="224">
        <f t="shared" si="6"/>
        <v>43712.25</v>
      </c>
      <c r="H40" s="224">
        <f t="shared" si="6"/>
        <v>43345</v>
      </c>
      <c r="I40" s="224">
        <f t="shared" si="6"/>
        <v>45079.5</v>
      </c>
      <c r="J40" s="224">
        <f t="shared" si="6"/>
        <v>46181.25</v>
      </c>
      <c r="K40" s="224">
        <f t="shared" si="6"/>
        <v>49752</v>
      </c>
      <c r="L40" s="224">
        <f t="shared" si="6"/>
        <v>67411</v>
      </c>
      <c r="M40" s="495"/>
    </row>
    <row r="41" spans="1:14">
      <c r="A41" s="479">
        <v>24</v>
      </c>
      <c r="B41" s="479">
        <v>39810</v>
      </c>
      <c r="C41" s="504">
        <f t="shared" si="5"/>
        <v>1.1400000000000001</v>
      </c>
      <c r="D41" s="479">
        <v>9327</v>
      </c>
      <c r="E41" s="192">
        <v>39810.04</v>
      </c>
      <c r="F41" s="224">
        <f t="shared" si="6"/>
        <v>39810.04</v>
      </c>
      <c r="G41" s="224">
        <f t="shared" si="6"/>
        <v>44379</v>
      </c>
      <c r="H41" s="224">
        <f t="shared" si="6"/>
        <v>43980</v>
      </c>
      <c r="I41" s="224">
        <f t="shared" si="6"/>
        <v>45778</v>
      </c>
      <c r="J41" s="224">
        <f t="shared" si="6"/>
        <v>46975</v>
      </c>
      <c r="K41" s="224">
        <f t="shared" si="6"/>
        <v>50768</v>
      </c>
      <c r="L41" s="224">
        <f t="shared" si="6"/>
        <v>69824</v>
      </c>
      <c r="M41" s="495"/>
    </row>
    <row r="42" spans="1:14">
      <c r="A42" s="479">
        <v>25</v>
      </c>
      <c r="B42" s="479">
        <v>40550</v>
      </c>
      <c r="C42" s="504">
        <f t="shared" si="5"/>
        <v>1.1500000000000001</v>
      </c>
      <c r="D42" s="479">
        <v>9827</v>
      </c>
      <c r="E42" s="192">
        <v>40550</v>
      </c>
      <c r="F42" s="224">
        <f t="shared" si="6"/>
        <v>40550</v>
      </c>
      <c r="G42" s="224">
        <f t="shared" si="6"/>
        <v>45056.25</v>
      </c>
      <c r="H42" s="224">
        <f t="shared" si="6"/>
        <v>44625</v>
      </c>
      <c r="I42" s="224">
        <f t="shared" si="6"/>
        <v>46487.5</v>
      </c>
      <c r="J42" s="224">
        <f t="shared" si="6"/>
        <v>47781.25</v>
      </c>
      <c r="K42" s="224">
        <f t="shared" si="6"/>
        <v>51800</v>
      </c>
      <c r="L42" s="224">
        <f t="shared" si="6"/>
        <v>72275</v>
      </c>
      <c r="M42" s="495"/>
    </row>
    <row r="43" spans="1:14">
      <c r="A43" s="479">
        <v>26</v>
      </c>
      <c r="B43" s="479">
        <v>41300</v>
      </c>
      <c r="C43" s="504">
        <f t="shared" si="5"/>
        <v>1.1600000000000001</v>
      </c>
      <c r="D43" s="479">
        <v>9863</v>
      </c>
      <c r="E43" s="192">
        <v>41300</v>
      </c>
      <c r="F43" s="224">
        <f t="shared" si="6"/>
        <v>41300</v>
      </c>
      <c r="G43" s="224">
        <f t="shared" si="6"/>
        <v>45744</v>
      </c>
      <c r="H43" s="224">
        <f t="shared" si="6"/>
        <v>45280</v>
      </c>
      <c r="I43" s="224">
        <f t="shared" si="6"/>
        <v>47208</v>
      </c>
      <c r="J43" s="224">
        <f t="shared" si="6"/>
        <v>48600</v>
      </c>
      <c r="K43" s="224">
        <f t="shared" si="6"/>
        <v>52848</v>
      </c>
      <c r="L43" s="224">
        <f t="shared" si="6"/>
        <v>74764</v>
      </c>
      <c r="M43" s="495"/>
    </row>
    <row r="44" spans="1:14">
      <c r="A44" s="479">
        <v>27</v>
      </c>
      <c r="B44" s="479">
        <v>42060</v>
      </c>
      <c r="C44" s="504">
        <f t="shared" si="5"/>
        <v>1.1700000000000002</v>
      </c>
      <c r="D44" s="479">
        <v>9797</v>
      </c>
      <c r="E44" s="192">
        <v>42058.85</v>
      </c>
      <c r="F44" s="224">
        <f t="shared" si="6"/>
        <v>42060</v>
      </c>
      <c r="G44" s="224">
        <f t="shared" si="6"/>
        <v>46442.25</v>
      </c>
      <c r="H44" s="224">
        <f t="shared" si="6"/>
        <v>45945</v>
      </c>
      <c r="I44" s="224">
        <f t="shared" si="6"/>
        <v>47939.5</v>
      </c>
      <c r="J44" s="224">
        <f t="shared" si="6"/>
        <v>49431.25</v>
      </c>
      <c r="K44" s="224">
        <f t="shared" si="6"/>
        <v>53912</v>
      </c>
      <c r="L44" s="224">
        <f t="shared" si="6"/>
        <v>77291</v>
      </c>
      <c r="M44" s="495"/>
    </row>
    <row r="45" spans="1:14">
      <c r="A45" s="479">
        <v>28</v>
      </c>
      <c r="B45" s="479">
        <v>42830</v>
      </c>
      <c r="C45" s="504">
        <f t="shared" si="5"/>
        <v>1.1800000000000002</v>
      </c>
      <c r="D45" s="479">
        <v>9688</v>
      </c>
      <c r="E45" s="192">
        <v>42829.919999999998</v>
      </c>
      <c r="F45" s="224">
        <f t="shared" si="6"/>
        <v>42830</v>
      </c>
      <c r="G45" s="224">
        <f t="shared" si="6"/>
        <v>47151</v>
      </c>
      <c r="H45" s="224">
        <f t="shared" si="6"/>
        <v>46620</v>
      </c>
      <c r="I45" s="224">
        <f t="shared" si="6"/>
        <v>48682</v>
      </c>
      <c r="J45" s="224">
        <f t="shared" si="6"/>
        <v>50275</v>
      </c>
      <c r="K45" s="224">
        <f t="shared" si="6"/>
        <v>54992</v>
      </c>
      <c r="L45" s="224">
        <f t="shared" si="6"/>
        <v>79856</v>
      </c>
      <c r="M45" s="495"/>
    </row>
    <row r="46" spans="1:14">
      <c r="A46" s="479">
        <v>29</v>
      </c>
      <c r="B46" s="479">
        <v>43610</v>
      </c>
      <c r="C46" s="504">
        <f t="shared" si="5"/>
        <v>1.1900000000000002</v>
      </c>
      <c r="D46" s="479">
        <v>9579</v>
      </c>
      <c r="E46" s="192">
        <v>43610.09</v>
      </c>
      <c r="F46" s="224">
        <f t="shared" si="6"/>
        <v>43610.09</v>
      </c>
      <c r="G46" s="224">
        <f t="shared" si="6"/>
        <v>47870.25</v>
      </c>
      <c r="H46" s="224">
        <f t="shared" si="6"/>
        <v>47305</v>
      </c>
      <c r="I46" s="224">
        <f t="shared" si="6"/>
        <v>49435.5</v>
      </c>
      <c r="J46" s="224">
        <f t="shared" si="6"/>
        <v>51131.25</v>
      </c>
      <c r="K46" s="224">
        <f t="shared" si="6"/>
        <v>56088</v>
      </c>
      <c r="L46" s="224">
        <f t="shared" si="6"/>
        <v>82459</v>
      </c>
      <c r="M46" s="495"/>
    </row>
    <row r="47" spans="1:14">
      <c r="A47" s="479">
        <v>30</v>
      </c>
      <c r="B47" s="479">
        <v>44400</v>
      </c>
      <c r="C47" s="504">
        <f t="shared" si="5"/>
        <v>1.2000000000000002</v>
      </c>
      <c r="D47" s="479">
        <v>9742</v>
      </c>
      <c r="E47" s="192">
        <v>44399.69</v>
      </c>
      <c r="F47" s="224">
        <f t="shared" si="6"/>
        <v>44400</v>
      </c>
      <c r="G47" s="224">
        <f t="shared" si="6"/>
        <v>48600</v>
      </c>
      <c r="H47" s="224">
        <f t="shared" si="6"/>
        <v>48000</v>
      </c>
      <c r="I47" s="224">
        <f t="shared" si="6"/>
        <v>50200</v>
      </c>
      <c r="J47" s="224">
        <f t="shared" si="6"/>
        <v>52000</v>
      </c>
      <c r="K47" s="224">
        <f t="shared" si="6"/>
        <v>57200</v>
      </c>
      <c r="L47" s="224">
        <f t="shared" si="6"/>
        <v>85100</v>
      </c>
      <c r="M47" s="495"/>
    </row>
    <row r="48" spans="1:14">
      <c r="A48" s="479">
        <v>31</v>
      </c>
      <c r="B48" s="479">
        <v>45200</v>
      </c>
      <c r="C48" s="504">
        <f t="shared" si="5"/>
        <v>1.2100000000000002</v>
      </c>
      <c r="D48" s="479">
        <v>9858</v>
      </c>
      <c r="E48" s="192">
        <v>45200</v>
      </c>
      <c r="F48" s="224">
        <f t="shared" si="6"/>
        <v>45200</v>
      </c>
      <c r="G48" s="224">
        <f t="shared" si="6"/>
        <v>49340.25</v>
      </c>
      <c r="H48" s="224">
        <f t="shared" si="6"/>
        <v>48705</v>
      </c>
      <c r="I48" s="224">
        <f t="shared" si="6"/>
        <v>50975.5</v>
      </c>
      <c r="J48" s="224">
        <f t="shared" si="6"/>
        <v>52881.25</v>
      </c>
      <c r="K48" s="224">
        <f t="shared" si="6"/>
        <v>58328</v>
      </c>
      <c r="L48" s="224">
        <f t="shared" si="6"/>
        <v>87779</v>
      </c>
      <c r="M48" s="495"/>
    </row>
    <row r="49" spans="1:13">
      <c r="A49" s="479">
        <v>32</v>
      </c>
      <c r="B49" s="479">
        <v>46010</v>
      </c>
      <c r="C49" s="504">
        <f t="shared" si="5"/>
        <v>1.2200000000000002</v>
      </c>
      <c r="D49" s="479">
        <v>9564</v>
      </c>
      <c r="E49" s="192">
        <v>46009.5</v>
      </c>
      <c r="F49" s="224">
        <f t="shared" ref="F49:L58" si="7">IF(F$3+(F$5*10+($A49-10)*F$6)*$C49&lt;$E49,$E49,F$3+(F$5*10+($A49-10)*F$6)*$C49)</f>
        <v>46010</v>
      </c>
      <c r="G49" s="224">
        <f t="shared" si="7"/>
        <v>50091</v>
      </c>
      <c r="H49" s="224">
        <f t="shared" si="7"/>
        <v>49420</v>
      </c>
      <c r="I49" s="224">
        <f t="shared" si="7"/>
        <v>51762</v>
      </c>
      <c r="J49" s="224">
        <f t="shared" si="7"/>
        <v>53775</v>
      </c>
      <c r="K49" s="224">
        <f t="shared" si="7"/>
        <v>59472</v>
      </c>
      <c r="L49" s="224">
        <f t="shared" si="7"/>
        <v>90496</v>
      </c>
      <c r="M49" s="495"/>
    </row>
    <row r="50" spans="1:13">
      <c r="A50" s="479">
        <v>33</v>
      </c>
      <c r="B50" s="479">
        <v>46830</v>
      </c>
      <c r="C50" s="504">
        <f t="shared" si="5"/>
        <v>1.2300000000000002</v>
      </c>
      <c r="D50" s="479">
        <v>9310</v>
      </c>
      <c r="E50" s="192">
        <v>46830</v>
      </c>
      <c r="F50" s="224">
        <f t="shared" si="7"/>
        <v>46830</v>
      </c>
      <c r="G50" s="224">
        <f t="shared" si="7"/>
        <v>50852.25</v>
      </c>
      <c r="H50" s="224">
        <f t="shared" si="7"/>
        <v>50145</v>
      </c>
      <c r="I50" s="224">
        <f t="shared" si="7"/>
        <v>52559.5</v>
      </c>
      <c r="J50" s="224">
        <f t="shared" si="7"/>
        <v>54681.25</v>
      </c>
      <c r="K50" s="224">
        <f t="shared" si="7"/>
        <v>60632</v>
      </c>
      <c r="L50" s="224">
        <f t="shared" si="7"/>
        <v>93251</v>
      </c>
      <c r="M50" s="495"/>
    </row>
    <row r="51" spans="1:13">
      <c r="A51" s="479">
        <v>34</v>
      </c>
      <c r="B51" s="479">
        <v>47660</v>
      </c>
      <c r="C51" s="504">
        <f t="shared" si="5"/>
        <v>1.2400000000000002</v>
      </c>
      <c r="D51" s="479">
        <v>8949</v>
      </c>
      <c r="E51" s="192">
        <v>47660</v>
      </c>
      <c r="F51" s="224">
        <f t="shared" si="7"/>
        <v>47660</v>
      </c>
      <c r="G51" s="224">
        <f t="shared" si="7"/>
        <v>51624</v>
      </c>
      <c r="H51" s="224">
        <f t="shared" si="7"/>
        <v>50880</v>
      </c>
      <c r="I51" s="224">
        <f t="shared" si="7"/>
        <v>53368</v>
      </c>
      <c r="J51" s="224">
        <f t="shared" si="7"/>
        <v>55600</v>
      </c>
      <c r="K51" s="224">
        <f t="shared" si="7"/>
        <v>61808</v>
      </c>
      <c r="L51" s="224">
        <f t="shared" si="7"/>
        <v>96044</v>
      </c>
      <c r="M51" s="495"/>
    </row>
    <row r="52" spans="1:13">
      <c r="A52" s="479">
        <v>35</v>
      </c>
      <c r="B52" s="479">
        <v>48500</v>
      </c>
      <c r="C52" s="504">
        <f t="shared" si="5"/>
        <v>1.2500000000000002</v>
      </c>
      <c r="D52" s="479">
        <v>10767</v>
      </c>
      <c r="E52" s="192">
        <v>48500</v>
      </c>
      <c r="F52" s="224">
        <f t="shared" si="7"/>
        <v>48500</v>
      </c>
      <c r="G52" s="224">
        <f t="shared" si="7"/>
        <v>52406.25</v>
      </c>
      <c r="H52" s="224">
        <f t="shared" si="7"/>
        <v>51625</v>
      </c>
      <c r="I52" s="224">
        <f t="shared" si="7"/>
        <v>54187.5</v>
      </c>
      <c r="J52" s="224">
        <f t="shared" si="7"/>
        <v>56531.25</v>
      </c>
      <c r="K52" s="224">
        <f t="shared" si="7"/>
        <v>63000</v>
      </c>
      <c r="L52" s="224">
        <f t="shared" si="7"/>
        <v>98875</v>
      </c>
      <c r="M52" s="495"/>
    </row>
    <row r="53" spans="1:13">
      <c r="A53" s="479">
        <v>36</v>
      </c>
      <c r="B53" s="479">
        <v>49350</v>
      </c>
      <c r="C53" s="504">
        <f t="shared" si="5"/>
        <v>1.2600000000000002</v>
      </c>
      <c r="D53" s="479">
        <v>9918</v>
      </c>
      <c r="E53" s="192">
        <v>49350</v>
      </c>
      <c r="F53" s="224">
        <f t="shared" si="7"/>
        <v>49350</v>
      </c>
      <c r="G53" s="224">
        <f t="shared" si="7"/>
        <v>53199</v>
      </c>
      <c r="H53" s="224">
        <f t="shared" si="7"/>
        <v>52380</v>
      </c>
      <c r="I53" s="224">
        <f t="shared" si="7"/>
        <v>55018</v>
      </c>
      <c r="J53" s="224">
        <f t="shared" si="7"/>
        <v>57475</v>
      </c>
      <c r="K53" s="224">
        <f t="shared" si="7"/>
        <v>64208</v>
      </c>
      <c r="L53" s="224">
        <f t="shared" si="7"/>
        <v>101744.00000000001</v>
      </c>
      <c r="M53" s="495"/>
    </row>
    <row r="54" spans="1:13">
      <c r="A54" s="479">
        <v>37</v>
      </c>
      <c r="B54" s="479">
        <v>50210</v>
      </c>
      <c r="C54" s="504">
        <f t="shared" si="5"/>
        <v>1.2700000000000002</v>
      </c>
      <c r="D54" s="479">
        <v>8908</v>
      </c>
      <c r="E54" s="192">
        <v>50210.33</v>
      </c>
      <c r="F54" s="224">
        <f t="shared" si="7"/>
        <v>50210.33</v>
      </c>
      <c r="G54" s="224">
        <f t="shared" si="7"/>
        <v>54002.25</v>
      </c>
      <c r="H54" s="224">
        <f t="shared" si="7"/>
        <v>53145</v>
      </c>
      <c r="I54" s="224">
        <f t="shared" si="7"/>
        <v>55859.5</v>
      </c>
      <c r="J54" s="224">
        <f t="shared" si="7"/>
        <v>58431.25</v>
      </c>
      <c r="K54" s="224">
        <f t="shared" si="7"/>
        <v>65432</v>
      </c>
      <c r="L54" s="224">
        <f t="shared" si="7"/>
        <v>104651.00000000001</v>
      </c>
      <c r="M54" s="495"/>
    </row>
    <row r="55" spans="1:13">
      <c r="A55" s="479">
        <v>38</v>
      </c>
      <c r="B55" s="479">
        <v>51080</v>
      </c>
      <c r="C55" s="504">
        <f t="shared" si="5"/>
        <v>1.2800000000000002</v>
      </c>
      <c r="D55" s="479">
        <v>8457</v>
      </c>
      <c r="E55" s="192">
        <v>51080</v>
      </c>
      <c r="F55" s="224">
        <f t="shared" si="7"/>
        <v>51080.000000000007</v>
      </c>
      <c r="G55" s="224">
        <f t="shared" si="7"/>
        <v>54816</v>
      </c>
      <c r="H55" s="224">
        <f t="shared" si="7"/>
        <v>53920</v>
      </c>
      <c r="I55" s="224">
        <f t="shared" si="7"/>
        <v>56712</v>
      </c>
      <c r="J55" s="224">
        <f t="shared" si="7"/>
        <v>59400</v>
      </c>
      <c r="K55" s="224">
        <f t="shared" si="7"/>
        <v>66672</v>
      </c>
      <c r="L55" s="224">
        <f t="shared" si="7"/>
        <v>107596.00000000001</v>
      </c>
      <c r="M55" s="495"/>
    </row>
    <row r="56" spans="1:13">
      <c r="A56" s="479">
        <v>39</v>
      </c>
      <c r="B56" s="479">
        <v>51960</v>
      </c>
      <c r="C56" s="504">
        <f t="shared" si="5"/>
        <v>1.2900000000000003</v>
      </c>
      <c r="D56" s="479">
        <v>8039</v>
      </c>
      <c r="E56" s="192">
        <v>51959.89</v>
      </c>
      <c r="F56" s="224">
        <f t="shared" si="7"/>
        <v>51960.000000000007</v>
      </c>
      <c r="G56" s="224">
        <f t="shared" si="7"/>
        <v>55640.25</v>
      </c>
      <c r="H56" s="224">
        <f t="shared" si="7"/>
        <v>54705</v>
      </c>
      <c r="I56" s="224">
        <f t="shared" si="7"/>
        <v>57575.5</v>
      </c>
      <c r="J56" s="224">
        <f t="shared" si="7"/>
        <v>60381.25</v>
      </c>
      <c r="K56" s="224">
        <f t="shared" si="7"/>
        <v>67928</v>
      </c>
      <c r="L56" s="224">
        <f t="shared" si="7"/>
        <v>110579.00000000001</v>
      </c>
      <c r="M56" s="495"/>
    </row>
    <row r="57" spans="1:13">
      <c r="A57" s="479">
        <v>40</v>
      </c>
      <c r="B57" s="479">
        <v>52850</v>
      </c>
      <c r="C57" s="504">
        <f t="shared" si="5"/>
        <v>1.3000000000000003</v>
      </c>
      <c r="D57" s="479">
        <v>7983</v>
      </c>
      <c r="E57" s="192">
        <v>52849.81</v>
      </c>
      <c r="F57" s="224">
        <f t="shared" si="7"/>
        <v>52850.000000000007</v>
      </c>
      <c r="G57" s="224">
        <f t="shared" si="7"/>
        <v>56475</v>
      </c>
      <c r="H57" s="224">
        <f t="shared" si="7"/>
        <v>55500</v>
      </c>
      <c r="I57" s="224">
        <f t="shared" si="7"/>
        <v>58450</v>
      </c>
      <c r="J57" s="224">
        <f t="shared" si="7"/>
        <v>61375</v>
      </c>
      <c r="K57" s="224">
        <f t="shared" si="7"/>
        <v>69200</v>
      </c>
      <c r="L57" s="224">
        <f t="shared" si="7"/>
        <v>113600.00000000001</v>
      </c>
      <c r="M57" s="495"/>
    </row>
    <row r="58" spans="1:13">
      <c r="A58" s="479">
        <v>41</v>
      </c>
      <c r="B58" s="479">
        <v>54000</v>
      </c>
      <c r="C58" s="504">
        <f>+$C$57+(A58-40)*0.02</f>
        <v>1.3200000000000003</v>
      </c>
      <c r="D58" s="479">
        <v>7837</v>
      </c>
      <c r="E58" s="192">
        <v>53998.879999999997</v>
      </c>
      <c r="F58" s="224">
        <f t="shared" si="7"/>
        <v>54000.000000000007</v>
      </c>
      <c r="G58" s="224">
        <f t="shared" si="7"/>
        <v>57483</v>
      </c>
      <c r="H58" s="224">
        <f t="shared" si="7"/>
        <v>56460</v>
      </c>
      <c r="I58" s="224">
        <f t="shared" si="7"/>
        <v>59506</v>
      </c>
      <c r="J58" s="224">
        <f t="shared" si="7"/>
        <v>62575.000000000007</v>
      </c>
      <c r="K58" s="224">
        <f t="shared" si="7"/>
        <v>70736</v>
      </c>
      <c r="L58" s="224">
        <f t="shared" si="7"/>
        <v>117248.00000000001</v>
      </c>
      <c r="M58" s="495"/>
    </row>
    <row r="59" spans="1:13">
      <c r="A59" s="479">
        <v>42</v>
      </c>
      <c r="B59" s="479">
        <v>55170</v>
      </c>
      <c r="C59" s="504">
        <f t="shared" ref="C59:C92" si="8">+$C$57+(A59-40)*0.02</f>
        <v>1.3400000000000003</v>
      </c>
      <c r="D59" s="479">
        <v>7730</v>
      </c>
      <c r="E59" s="192">
        <v>55170</v>
      </c>
      <c r="F59" s="224">
        <f t="shared" ref="F59:L68" si="9">IF(F$3+(F$5*10+($A59-10)*F$6)*$C59&lt;$E59,$E59,F$3+(F$5*10+($A59-10)*F$6)*$C59)</f>
        <v>55170.000000000007</v>
      </c>
      <c r="G59" s="224">
        <f t="shared" si="9"/>
        <v>58512</v>
      </c>
      <c r="H59" s="224">
        <f t="shared" si="9"/>
        <v>57440</v>
      </c>
      <c r="I59" s="224">
        <f t="shared" si="9"/>
        <v>60584</v>
      </c>
      <c r="J59" s="224">
        <f t="shared" si="9"/>
        <v>63800.000000000007</v>
      </c>
      <c r="K59" s="224">
        <f t="shared" si="9"/>
        <v>72304</v>
      </c>
      <c r="L59" s="224">
        <f t="shared" si="9"/>
        <v>120972.00000000001</v>
      </c>
      <c r="M59" s="495"/>
    </row>
    <row r="60" spans="1:13">
      <c r="A60" s="479">
        <v>43</v>
      </c>
      <c r="B60" s="479">
        <v>56360</v>
      </c>
      <c r="C60" s="504">
        <f t="shared" si="8"/>
        <v>1.3600000000000003</v>
      </c>
      <c r="D60" s="479">
        <v>7636</v>
      </c>
      <c r="E60" s="192">
        <v>56359.040000000001</v>
      </c>
      <c r="F60" s="224">
        <f t="shared" si="9"/>
        <v>56360.000000000007</v>
      </c>
      <c r="G60" s="224">
        <f t="shared" si="9"/>
        <v>59562.000000000007</v>
      </c>
      <c r="H60" s="224">
        <f t="shared" si="9"/>
        <v>58440</v>
      </c>
      <c r="I60" s="224">
        <f t="shared" si="9"/>
        <v>61684.000000000007</v>
      </c>
      <c r="J60" s="224">
        <f t="shared" si="9"/>
        <v>65050.000000000007</v>
      </c>
      <c r="K60" s="224">
        <f t="shared" si="9"/>
        <v>73904</v>
      </c>
      <c r="L60" s="224">
        <f t="shared" si="9"/>
        <v>124772.00000000001</v>
      </c>
      <c r="M60" s="495"/>
    </row>
    <row r="61" spans="1:13">
      <c r="A61" s="479">
        <v>44</v>
      </c>
      <c r="B61" s="479">
        <v>57570</v>
      </c>
      <c r="C61" s="504">
        <f t="shared" si="8"/>
        <v>1.3800000000000003</v>
      </c>
      <c r="D61" s="479">
        <v>8121</v>
      </c>
      <c r="E61" s="192">
        <v>57569.66</v>
      </c>
      <c r="F61" s="224">
        <f t="shared" si="9"/>
        <v>57570.000000000007</v>
      </c>
      <c r="G61" s="224">
        <f t="shared" si="9"/>
        <v>60633.000000000007</v>
      </c>
      <c r="H61" s="224">
        <f t="shared" si="9"/>
        <v>59460.000000000007</v>
      </c>
      <c r="I61" s="224">
        <f t="shared" si="9"/>
        <v>62806.000000000007</v>
      </c>
      <c r="J61" s="224">
        <f t="shared" si="9"/>
        <v>66325</v>
      </c>
      <c r="K61" s="224">
        <f t="shared" si="9"/>
        <v>75536</v>
      </c>
      <c r="L61" s="224">
        <f t="shared" si="9"/>
        <v>128648.00000000001</v>
      </c>
      <c r="M61" s="495"/>
    </row>
    <row r="62" spans="1:13">
      <c r="A62" s="479">
        <v>45</v>
      </c>
      <c r="B62" s="479">
        <v>58800</v>
      </c>
      <c r="C62" s="504">
        <f t="shared" si="8"/>
        <v>1.4000000000000004</v>
      </c>
      <c r="D62" s="479">
        <v>8465</v>
      </c>
      <c r="E62" s="192">
        <v>58799.02</v>
      </c>
      <c r="F62" s="224">
        <f t="shared" si="9"/>
        <v>58800.000000000007</v>
      </c>
      <c r="G62" s="224">
        <f t="shared" si="9"/>
        <v>61725.000000000007</v>
      </c>
      <c r="H62" s="224">
        <f t="shared" si="9"/>
        <v>60500.000000000007</v>
      </c>
      <c r="I62" s="224">
        <f t="shared" si="9"/>
        <v>63950.000000000007</v>
      </c>
      <c r="J62" s="224">
        <f t="shared" si="9"/>
        <v>67625</v>
      </c>
      <c r="K62" s="224">
        <f t="shared" si="9"/>
        <v>77200</v>
      </c>
      <c r="L62" s="224">
        <f t="shared" si="9"/>
        <v>132600.00000000003</v>
      </c>
      <c r="M62" s="495"/>
    </row>
    <row r="63" spans="1:13">
      <c r="A63" s="479">
        <v>46</v>
      </c>
      <c r="B63" s="479">
        <v>60050</v>
      </c>
      <c r="C63" s="504">
        <f t="shared" si="8"/>
        <v>1.4200000000000004</v>
      </c>
      <c r="D63" s="479">
        <v>8013</v>
      </c>
      <c r="E63" s="192">
        <v>60050</v>
      </c>
      <c r="F63" s="224">
        <f t="shared" si="9"/>
        <v>60050.000000000007</v>
      </c>
      <c r="G63" s="224">
        <f t="shared" si="9"/>
        <v>62838.000000000007</v>
      </c>
      <c r="H63" s="224">
        <f t="shared" si="9"/>
        <v>61560.000000000007</v>
      </c>
      <c r="I63" s="224">
        <f t="shared" si="9"/>
        <v>65116.000000000007</v>
      </c>
      <c r="J63" s="224">
        <f t="shared" si="9"/>
        <v>68950</v>
      </c>
      <c r="K63" s="224">
        <f t="shared" si="9"/>
        <v>78896</v>
      </c>
      <c r="L63" s="224">
        <f t="shared" si="9"/>
        <v>136628.00000000003</v>
      </c>
      <c r="M63" s="495"/>
    </row>
    <row r="64" spans="1:13">
      <c r="A64" s="479">
        <v>47</v>
      </c>
      <c r="B64" s="479">
        <v>61320</v>
      </c>
      <c r="C64" s="504">
        <f t="shared" si="8"/>
        <v>1.4400000000000004</v>
      </c>
      <c r="D64" s="479">
        <v>7063</v>
      </c>
      <c r="E64" s="192">
        <v>61320.18</v>
      </c>
      <c r="F64" s="224">
        <f t="shared" si="9"/>
        <v>61320.18</v>
      </c>
      <c r="G64" s="224">
        <f t="shared" si="9"/>
        <v>63972.000000000007</v>
      </c>
      <c r="H64" s="224">
        <f t="shared" si="9"/>
        <v>62640.000000000007</v>
      </c>
      <c r="I64" s="224">
        <f t="shared" si="9"/>
        <v>66304</v>
      </c>
      <c r="J64" s="224">
        <f t="shared" si="9"/>
        <v>70300</v>
      </c>
      <c r="K64" s="224">
        <f t="shared" si="9"/>
        <v>80624.000000000015</v>
      </c>
      <c r="L64" s="224">
        <f t="shared" si="9"/>
        <v>140732.00000000003</v>
      </c>
      <c r="M64" s="495"/>
    </row>
    <row r="65" spans="1:13">
      <c r="A65" s="479">
        <v>48</v>
      </c>
      <c r="B65" s="479">
        <v>62610</v>
      </c>
      <c r="C65" s="504">
        <f t="shared" si="8"/>
        <v>1.4600000000000002</v>
      </c>
      <c r="D65" s="479">
        <v>5979</v>
      </c>
      <c r="E65" s="192">
        <v>62609.78</v>
      </c>
      <c r="F65" s="224">
        <f t="shared" si="9"/>
        <v>62610.000000000007</v>
      </c>
      <c r="G65" s="224">
        <f t="shared" si="9"/>
        <v>65127</v>
      </c>
      <c r="H65" s="224">
        <f t="shared" si="9"/>
        <v>63740</v>
      </c>
      <c r="I65" s="224">
        <f t="shared" si="9"/>
        <v>67514</v>
      </c>
      <c r="J65" s="224">
        <f t="shared" si="9"/>
        <v>71675</v>
      </c>
      <c r="K65" s="224">
        <f t="shared" si="9"/>
        <v>82384</v>
      </c>
      <c r="L65" s="224">
        <f t="shared" si="9"/>
        <v>144912</v>
      </c>
      <c r="M65" s="495"/>
    </row>
    <row r="66" spans="1:13">
      <c r="A66" s="479">
        <v>49</v>
      </c>
      <c r="B66" s="479">
        <v>63920</v>
      </c>
      <c r="C66" s="504">
        <f t="shared" si="8"/>
        <v>1.4800000000000002</v>
      </c>
      <c r="D66" s="479">
        <v>5078</v>
      </c>
      <c r="E66" s="192">
        <v>63919.74</v>
      </c>
      <c r="F66" s="224">
        <f t="shared" si="9"/>
        <v>63920.000000000007</v>
      </c>
      <c r="G66" s="224">
        <f t="shared" si="9"/>
        <v>66303</v>
      </c>
      <c r="H66" s="224">
        <f t="shared" si="9"/>
        <v>64860</v>
      </c>
      <c r="I66" s="224">
        <f t="shared" si="9"/>
        <v>68746</v>
      </c>
      <c r="J66" s="224">
        <f t="shared" si="9"/>
        <v>73075</v>
      </c>
      <c r="K66" s="224">
        <f t="shared" si="9"/>
        <v>84176</v>
      </c>
      <c r="L66" s="224">
        <f t="shared" si="9"/>
        <v>149168</v>
      </c>
      <c r="M66" s="495"/>
    </row>
    <row r="67" spans="1:13">
      <c r="A67" s="479">
        <v>50</v>
      </c>
      <c r="B67" s="479">
        <v>65250</v>
      </c>
      <c r="C67" s="504">
        <f t="shared" si="8"/>
        <v>1.5000000000000002</v>
      </c>
      <c r="D67" s="479">
        <v>4150</v>
      </c>
      <c r="E67" s="192">
        <v>65250</v>
      </c>
      <c r="F67" s="224">
        <f t="shared" si="9"/>
        <v>65250.000000000007</v>
      </c>
      <c r="G67" s="224">
        <f t="shared" si="9"/>
        <v>67500</v>
      </c>
      <c r="H67" s="224">
        <f t="shared" si="9"/>
        <v>66000</v>
      </c>
      <c r="I67" s="224">
        <f t="shared" si="9"/>
        <v>70000</v>
      </c>
      <c r="J67" s="224">
        <f t="shared" si="9"/>
        <v>74500</v>
      </c>
      <c r="K67" s="224">
        <f t="shared" si="9"/>
        <v>86000</v>
      </c>
      <c r="L67" s="224">
        <f t="shared" si="9"/>
        <v>153500</v>
      </c>
      <c r="M67" s="495"/>
    </row>
    <row r="68" spans="1:13">
      <c r="A68" s="479">
        <v>51</v>
      </c>
      <c r="B68" s="479">
        <v>66600</v>
      </c>
      <c r="C68" s="504">
        <f t="shared" si="8"/>
        <v>1.5200000000000002</v>
      </c>
      <c r="D68" s="479">
        <v>3542</v>
      </c>
      <c r="E68" s="192">
        <v>66600</v>
      </c>
      <c r="F68" s="224">
        <f t="shared" si="9"/>
        <v>66600</v>
      </c>
      <c r="G68" s="224">
        <f t="shared" si="9"/>
        <v>68718</v>
      </c>
      <c r="H68" s="224">
        <f t="shared" si="9"/>
        <v>67160</v>
      </c>
      <c r="I68" s="224">
        <f t="shared" si="9"/>
        <v>71276</v>
      </c>
      <c r="J68" s="224">
        <f t="shared" si="9"/>
        <v>75950</v>
      </c>
      <c r="K68" s="224">
        <f t="shared" si="9"/>
        <v>87856</v>
      </c>
      <c r="L68" s="224">
        <f t="shared" si="9"/>
        <v>157908</v>
      </c>
      <c r="M68" s="495"/>
    </row>
    <row r="69" spans="1:13">
      <c r="A69" s="479">
        <v>52</v>
      </c>
      <c r="B69" s="479">
        <v>67970</v>
      </c>
      <c r="C69" s="504">
        <f t="shared" si="8"/>
        <v>1.5400000000000003</v>
      </c>
      <c r="D69" s="479">
        <v>2967</v>
      </c>
      <c r="E69" s="192">
        <v>67970</v>
      </c>
      <c r="F69" s="224">
        <f t="shared" ref="F69:L78" si="10">IF(F$3+(F$5*10+($A69-10)*F$6)*$C69&lt;$E69,$E69,F$3+(F$5*10+($A69-10)*F$6)*$C69)</f>
        <v>67970</v>
      </c>
      <c r="G69" s="224">
        <f t="shared" si="10"/>
        <v>69957</v>
      </c>
      <c r="H69" s="224">
        <f t="shared" si="10"/>
        <v>68340</v>
      </c>
      <c r="I69" s="224">
        <f t="shared" si="10"/>
        <v>72574</v>
      </c>
      <c r="J69" s="224">
        <f t="shared" si="10"/>
        <v>77425</v>
      </c>
      <c r="K69" s="224">
        <f t="shared" si="10"/>
        <v>89744</v>
      </c>
      <c r="L69" s="224">
        <f t="shared" si="10"/>
        <v>162392</v>
      </c>
      <c r="M69" s="495"/>
    </row>
    <row r="70" spans="1:13">
      <c r="A70" s="479">
        <v>53</v>
      </c>
      <c r="B70" s="479">
        <v>69360</v>
      </c>
      <c r="C70" s="504">
        <f t="shared" si="8"/>
        <v>1.5600000000000003</v>
      </c>
      <c r="D70" s="479">
        <v>2444</v>
      </c>
      <c r="E70" s="192">
        <v>69360</v>
      </c>
      <c r="F70" s="224">
        <f t="shared" si="10"/>
        <v>69360</v>
      </c>
      <c r="G70" s="224">
        <f t="shared" si="10"/>
        <v>71217</v>
      </c>
      <c r="H70" s="224">
        <f t="shared" si="10"/>
        <v>69540</v>
      </c>
      <c r="I70" s="224">
        <f t="shared" si="10"/>
        <v>73894</v>
      </c>
      <c r="J70" s="224">
        <f t="shared" si="10"/>
        <v>78925</v>
      </c>
      <c r="K70" s="224">
        <f t="shared" si="10"/>
        <v>91664</v>
      </c>
      <c r="L70" s="224">
        <f t="shared" si="10"/>
        <v>166952.00000000003</v>
      </c>
      <c r="M70" s="495"/>
    </row>
    <row r="71" spans="1:13">
      <c r="A71" s="479">
        <v>54</v>
      </c>
      <c r="B71" s="479">
        <v>70770</v>
      </c>
      <c r="C71" s="504">
        <f t="shared" si="8"/>
        <v>1.5800000000000003</v>
      </c>
      <c r="D71" s="479">
        <v>2017</v>
      </c>
      <c r="E71" s="192">
        <v>70770</v>
      </c>
      <c r="F71" s="224">
        <f t="shared" si="10"/>
        <v>70770</v>
      </c>
      <c r="G71" s="224">
        <f t="shared" si="10"/>
        <v>72498</v>
      </c>
      <c r="H71" s="224">
        <f t="shared" si="10"/>
        <v>70770</v>
      </c>
      <c r="I71" s="224">
        <f t="shared" si="10"/>
        <v>75236</v>
      </c>
      <c r="J71" s="224">
        <f t="shared" si="10"/>
        <v>80450</v>
      </c>
      <c r="K71" s="224">
        <f t="shared" si="10"/>
        <v>93616</v>
      </c>
      <c r="L71" s="224">
        <f t="shared" si="10"/>
        <v>171588.00000000003</v>
      </c>
      <c r="M71" s="495"/>
    </row>
    <row r="72" spans="1:13">
      <c r="A72" s="479">
        <v>55</v>
      </c>
      <c r="B72" s="479">
        <v>72200</v>
      </c>
      <c r="C72" s="504">
        <f t="shared" si="8"/>
        <v>1.6000000000000003</v>
      </c>
      <c r="D72" s="479">
        <v>1508</v>
      </c>
      <c r="E72" s="192">
        <v>72200</v>
      </c>
      <c r="F72" s="224">
        <f t="shared" si="10"/>
        <v>72200</v>
      </c>
      <c r="G72" s="224">
        <f t="shared" si="10"/>
        <v>73800</v>
      </c>
      <c r="H72" s="224">
        <f t="shared" si="10"/>
        <v>72200</v>
      </c>
      <c r="I72" s="224">
        <f t="shared" si="10"/>
        <v>76600</v>
      </c>
      <c r="J72" s="224">
        <f t="shared" si="10"/>
        <v>82000</v>
      </c>
      <c r="K72" s="224">
        <f t="shared" si="10"/>
        <v>95600.000000000015</v>
      </c>
      <c r="L72" s="224">
        <f t="shared" si="10"/>
        <v>176300.00000000003</v>
      </c>
      <c r="M72" s="495"/>
    </row>
    <row r="73" spans="1:13">
      <c r="A73" s="479">
        <v>56</v>
      </c>
      <c r="B73" s="479">
        <v>73650</v>
      </c>
      <c r="C73" s="504">
        <f t="shared" si="8"/>
        <v>1.6200000000000003</v>
      </c>
      <c r="D73" s="479">
        <v>1232</v>
      </c>
      <c r="E73" s="192">
        <v>73650</v>
      </c>
      <c r="F73" s="224">
        <f t="shared" si="10"/>
        <v>73650</v>
      </c>
      <c r="G73" s="224">
        <f t="shared" si="10"/>
        <v>75123</v>
      </c>
      <c r="H73" s="224">
        <f t="shared" si="10"/>
        <v>73650</v>
      </c>
      <c r="I73" s="224">
        <f t="shared" si="10"/>
        <v>77986</v>
      </c>
      <c r="J73" s="224">
        <f t="shared" si="10"/>
        <v>83575</v>
      </c>
      <c r="K73" s="224">
        <f t="shared" si="10"/>
        <v>97616.000000000015</v>
      </c>
      <c r="L73" s="224">
        <f t="shared" si="10"/>
        <v>181088.00000000003</v>
      </c>
      <c r="M73" s="495"/>
    </row>
    <row r="74" spans="1:13">
      <c r="A74" s="479">
        <v>57</v>
      </c>
      <c r="B74" s="479">
        <v>75120</v>
      </c>
      <c r="C74" s="504">
        <f t="shared" si="8"/>
        <v>1.6400000000000003</v>
      </c>
      <c r="D74" s="479">
        <v>939</v>
      </c>
      <c r="E74" s="192">
        <v>75120</v>
      </c>
      <c r="F74" s="224">
        <f t="shared" si="10"/>
        <v>75120.000000000015</v>
      </c>
      <c r="G74" s="224">
        <f t="shared" si="10"/>
        <v>76467</v>
      </c>
      <c r="H74" s="224">
        <f t="shared" si="10"/>
        <v>75120</v>
      </c>
      <c r="I74" s="224">
        <f t="shared" si="10"/>
        <v>79394</v>
      </c>
      <c r="J74" s="224">
        <f t="shared" si="10"/>
        <v>85175</v>
      </c>
      <c r="K74" s="224">
        <f t="shared" si="10"/>
        <v>99664.000000000015</v>
      </c>
      <c r="L74" s="224">
        <f t="shared" si="10"/>
        <v>185952.00000000003</v>
      </c>
      <c r="M74" s="495"/>
    </row>
    <row r="75" spans="1:13">
      <c r="A75" s="479">
        <v>58</v>
      </c>
      <c r="B75" s="479">
        <v>76610</v>
      </c>
      <c r="C75" s="504">
        <f t="shared" si="8"/>
        <v>1.6600000000000001</v>
      </c>
      <c r="D75" s="479">
        <v>715</v>
      </c>
      <c r="E75" s="192">
        <v>76610</v>
      </c>
      <c r="F75" s="224">
        <f t="shared" si="10"/>
        <v>76610</v>
      </c>
      <c r="G75" s="224">
        <f t="shared" si="10"/>
        <v>77832</v>
      </c>
      <c r="H75" s="224">
        <f t="shared" si="10"/>
        <v>76610</v>
      </c>
      <c r="I75" s="224">
        <f t="shared" si="10"/>
        <v>80824</v>
      </c>
      <c r="J75" s="224">
        <f t="shared" si="10"/>
        <v>86800</v>
      </c>
      <c r="K75" s="224">
        <f t="shared" si="10"/>
        <v>101744</v>
      </c>
      <c r="L75" s="224">
        <f t="shared" si="10"/>
        <v>190892</v>
      </c>
      <c r="M75" s="495"/>
    </row>
    <row r="76" spans="1:13">
      <c r="A76" s="479">
        <v>59</v>
      </c>
      <c r="B76" s="479">
        <v>78120</v>
      </c>
      <c r="C76" s="504">
        <f t="shared" si="8"/>
        <v>1.6800000000000002</v>
      </c>
      <c r="D76" s="479">
        <v>575</v>
      </c>
      <c r="E76" s="192">
        <v>78125.63</v>
      </c>
      <c r="F76" s="224">
        <f t="shared" si="10"/>
        <v>78125.63</v>
      </c>
      <c r="G76" s="224">
        <f t="shared" si="10"/>
        <v>79218</v>
      </c>
      <c r="H76" s="224">
        <f t="shared" si="10"/>
        <v>78125.63</v>
      </c>
      <c r="I76" s="224">
        <f t="shared" si="10"/>
        <v>82276</v>
      </c>
      <c r="J76" s="224">
        <f t="shared" si="10"/>
        <v>88450</v>
      </c>
      <c r="K76" s="224">
        <f t="shared" si="10"/>
        <v>103856</v>
      </c>
      <c r="L76" s="224">
        <f t="shared" si="10"/>
        <v>195908.00000000003</v>
      </c>
      <c r="M76" s="495"/>
    </row>
    <row r="77" spans="1:13">
      <c r="A77" s="479">
        <v>60</v>
      </c>
      <c r="B77" s="479">
        <v>79650</v>
      </c>
      <c r="C77" s="504">
        <f t="shared" si="8"/>
        <v>1.7000000000000002</v>
      </c>
      <c r="D77" s="479">
        <v>493</v>
      </c>
      <c r="E77" s="192">
        <v>79650</v>
      </c>
      <c r="F77" s="224">
        <f t="shared" si="10"/>
        <v>79650</v>
      </c>
      <c r="G77" s="224">
        <f t="shared" si="10"/>
        <v>80625</v>
      </c>
      <c r="H77" s="224">
        <f t="shared" si="10"/>
        <v>79650</v>
      </c>
      <c r="I77" s="224">
        <f t="shared" si="10"/>
        <v>83750</v>
      </c>
      <c r="J77" s="224">
        <f t="shared" si="10"/>
        <v>90125</v>
      </c>
      <c r="K77" s="224">
        <f t="shared" si="10"/>
        <v>106000</v>
      </c>
      <c r="L77" s="224">
        <f t="shared" si="10"/>
        <v>201000.00000000003</v>
      </c>
      <c r="M77" s="495"/>
    </row>
    <row r="78" spans="1:13">
      <c r="A78" s="479">
        <v>61</v>
      </c>
      <c r="B78" s="479">
        <v>81200</v>
      </c>
      <c r="C78" s="504">
        <f t="shared" si="8"/>
        <v>1.7200000000000002</v>
      </c>
      <c r="D78" s="479">
        <v>403</v>
      </c>
      <c r="E78" s="192">
        <v>81200</v>
      </c>
      <c r="F78" s="224">
        <f t="shared" si="10"/>
        <v>81200</v>
      </c>
      <c r="G78" s="224">
        <f t="shared" si="10"/>
        <v>82053</v>
      </c>
      <c r="H78" s="224">
        <f t="shared" si="10"/>
        <v>81200</v>
      </c>
      <c r="I78" s="224">
        <f t="shared" si="10"/>
        <v>85246</v>
      </c>
      <c r="J78" s="224">
        <f t="shared" si="10"/>
        <v>91825</v>
      </c>
      <c r="K78" s="224">
        <f t="shared" si="10"/>
        <v>108176.00000000001</v>
      </c>
      <c r="L78" s="224">
        <f t="shared" si="10"/>
        <v>206168.00000000003</v>
      </c>
      <c r="M78" s="495"/>
    </row>
    <row r="79" spans="1:13">
      <c r="A79" s="479">
        <v>62</v>
      </c>
      <c r="B79" s="479">
        <v>82770</v>
      </c>
      <c r="C79" s="504">
        <f t="shared" si="8"/>
        <v>1.7400000000000002</v>
      </c>
      <c r="D79" s="479">
        <v>324</v>
      </c>
      <c r="E79" s="192">
        <v>82770</v>
      </c>
      <c r="F79" s="224">
        <f t="shared" ref="F79:L88" si="11">IF(F$3+(F$5*10+($A79-10)*F$6)*$C79&lt;$E79,$E79,F$3+(F$5*10+($A79-10)*F$6)*$C79)</f>
        <v>82770</v>
      </c>
      <c r="G79" s="224">
        <f t="shared" si="11"/>
        <v>83502</v>
      </c>
      <c r="H79" s="224">
        <f t="shared" si="11"/>
        <v>82770</v>
      </c>
      <c r="I79" s="224">
        <f t="shared" si="11"/>
        <v>86764</v>
      </c>
      <c r="J79" s="224">
        <f t="shared" si="11"/>
        <v>93550</v>
      </c>
      <c r="K79" s="224">
        <f t="shared" si="11"/>
        <v>110384.00000000001</v>
      </c>
      <c r="L79" s="224">
        <f t="shared" si="11"/>
        <v>211412.00000000003</v>
      </c>
      <c r="M79" s="495"/>
    </row>
    <row r="80" spans="1:13">
      <c r="A80" s="479">
        <v>63</v>
      </c>
      <c r="B80" s="479">
        <v>84360</v>
      </c>
      <c r="C80" s="504">
        <f t="shared" si="8"/>
        <v>1.7600000000000002</v>
      </c>
      <c r="D80" s="479">
        <v>275</v>
      </c>
      <c r="E80" s="192">
        <v>84360</v>
      </c>
      <c r="F80" s="224">
        <f t="shared" si="11"/>
        <v>84360</v>
      </c>
      <c r="G80" s="224">
        <f t="shared" si="11"/>
        <v>84972</v>
      </c>
      <c r="H80" s="224">
        <f t="shared" si="11"/>
        <v>84360</v>
      </c>
      <c r="I80" s="224">
        <f t="shared" si="11"/>
        <v>88304</v>
      </c>
      <c r="J80" s="224">
        <f t="shared" si="11"/>
        <v>95300</v>
      </c>
      <c r="K80" s="224">
        <f t="shared" si="11"/>
        <v>112624.00000000001</v>
      </c>
      <c r="L80" s="224">
        <f t="shared" si="11"/>
        <v>216732.00000000003</v>
      </c>
      <c r="M80" s="495"/>
    </row>
    <row r="81" spans="1:13">
      <c r="A81" s="479">
        <v>64</v>
      </c>
      <c r="B81" s="479">
        <v>85970</v>
      </c>
      <c r="C81" s="504">
        <f t="shared" si="8"/>
        <v>1.7800000000000002</v>
      </c>
      <c r="D81" s="479">
        <v>195</v>
      </c>
      <c r="E81" s="192">
        <v>85970</v>
      </c>
      <c r="F81" s="224">
        <f t="shared" si="11"/>
        <v>85970</v>
      </c>
      <c r="G81" s="224">
        <f t="shared" si="11"/>
        <v>86463</v>
      </c>
      <c r="H81" s="224">
        <f t="shared" si="11"/>
        <v>85970</v>
      </c>
      <c r="I81" s="224">
        <f t="shared" si="11"/>
        <v>89866</v>
      </c>
      <c r="J81" s="224">
        <f t="shared" si="11"/>
        <v>97075</v>
      </c>
      <c r="K81" s="224">
        <f t="shared" si="11"/>
        <v>114896.00000000001</v>
      </c>
      <c r="L81" s="224">
        <f t="shared" si="11"/>
        <v>222128.00000000003</v>
      </c>
      <c r="M81" s="495"/>
    </row>
    <row r="82" spans="1:13">
      <c r="A82" s="479">
        <v>65</v>
      </c>
      <c r="B82" s="479">
        <v>87600</v>
      </c>
      <c r="C82" s="504">
        <f t="shared" si="8"/>
        <v>1.8000000000000003</v>
      </c>
      <c r="D82" s="479">
        <v>148</v>
      </c>
      <c r="E82" s="192">
        <v>87600</v>
      </c>
      <c r="F82" s="224">
        <f t="shared" si="11"/>
        <v>87600.000000000015</v>
      </c>
      <c r="G82" s="224">
        <f t="shared" si="11"/>
        <v>87975</v>
      </c>
      <c r="H82" s="224">
        <f t="shared" si="11"/>
        <v>87600</v>
      </c>
      <c r="I82" s="224">
        <f t="shared" si="11"/>
        <v>91450</v>
      </c>
      <c r="J82" s="224">
        <f t="shared" si="11"/>
        <v>98875</v>
      </c>
      <c r="K82" s="224">
        <f t="shared" si="11"/>
        <v>117200.00000000001</v>
      </c>
      <c r="L82" s="224">
        <f t="shared" si="11"/>
        <v>227600.00000000003</v>
      </c>
      <c r="M82" s="495"/>
    </row>
    <row r="83" spans="1:13">
      <c r="A83" s="479">
        <v>66</v>
      </c>
      <c r="B83" s="479">
        <v>89250</v>
      </c>
      <c r="C83" s="504">
        <f t="shared" si="8"/>
        <v>1.8200000000000003</v>
      </c>
      <c r="D83" s="479">
        <v>133</v>
      </c>
      <c r="E83" s="192">
        <v>89250</v>
      </c>
      <c r="F83" s="224">
        <f t="shared" si="11"/>
        <v>89250.000000000015</v>
      </c>
      <c r="G83" s="224">
        <f t="shared" si="11"/>
        <v>89508</v>
      </c>
      <c r="H83" s="224">
        <f t="shared" si="11"/>
        <v>89250</v>
      </c>
      <c r="I83" s="224">
        <f t="shared" si="11"/>
        <v>93056</v>
      </c>
      <c r="J83" s="224">
        <f t="shared" si="11"/>
        <v>100700</v>
      </c>
      <c r="K83" s="224">
        <f t="shared" si="11"/>
        <v>119536.00000000001</v>
      </c>
      <c r="L83" s="224">
        <f t="shared" si="11"/>
        <v>233148.00000000003</v>
      </c>
      <c r="M83" s="495"/>
    </row>
    <row r="84" spans="1:13">
      <c r="A84" s="479">
        <v>67</v>
      </c>
      <c r="B84" s="479">
        <v>90920</v>
      </c>
      <c r="C84" s="504">
        <f t="shared" si="8"/>
        <v>1.8400000000000003</v>
      </c>
      <c r="D84" s="479">
        <v>68</v>
      </c>
      <c r="E84" s="192">
        <v>90920</v>
      </c>
      <c r="F84" s="224">
        <f t="shared" si="11"/>
        <v>90920.000000000015</v>
      </c>
      <c r="G84" s="224">
        <f t="shared" si="11"/>
        <v>91062</v>
      </c>
      <c r="H84" s="224">
        <f t="shared" si="11"/>
        <v>90920</v>
      </c>
      <c r="I84" s="224">
        <f t="shared" si="11"/>
        <v>94684</v>
      </c>
      <c r="J84" s="224">
        <f t="shared" si="11"/>
        <v>102550.00000000001</v>
      </c>
      <c r="K84" s="224">
        <f t="shared" si="11"/>
        <v>121904.00000000001</v>
      </c>
      <c r="L84" s="224">
        <f t="shared" si="11"/>
        <v>238772.00000000003</v>
      </c>
      <c r="M84" s="495"/>
    </row>
    <row r="85" spans="1:13">
      <c r="A85" s="479">
        <v>68</v>
      </c>
      <c r="B85" s="479">
        <v>92610</v>
      </c>
      <c r="C85" s="504">
        <f t="shared" si="8"/>
        <v>1.8600000000000003</v>
      </c>
      <c r="D85" s="479">
        <v>56</v>
      </c>
      <c r="E85" s="192">
        <v>92610</v>
      </c>
      <c r="F85" s="224">
        <f t="shared" si="11"/>
        <v>92610.000000000015</v>
      </c>
      <c r="G85" s="224">
        <f t="shared" si="11"/>
        <v>92637</v>
      </c>
      <c r="H85" s="224">
        <f t="shared" si="11"/>
        <v>92610</v>
      </c>
      <c r="I85" s="224">
        <f t="shared" si="11"/>
        <v>96334</v>
      </c>
      <c r="J85" s="224">
        <f t="shared" si="11"/>
        <v>104425.00000000001</v>
      </c>
      <c r="K85" s="224">
        <f t="shared" si="11"/>
        <v>124304.00000000001</v>
      </c>
      <c r="L85" s="224">
        <f t="shared" si="11"/>
        <v>244472.00000000003</v>
      </c>
      <c r="M85" s="495"/>
    </row>
    <row r="86" spans="1:13">
      <c r="A86" s="479">
        <v>69</v>
      </c>
      <c r="B86" s="479">
        <v>94320</v>
      </c>
      <c r="C86" s="504">
        <f t="shared" si="8"/>
        <v>1.8800000000000003</v>
      </c>
      <c r="D86" s="479">
        <v>56</v>
      </c>
      <c r="E86" s="192">
        <v>94320</v>
      </c>
      <c r="F86" s="224">
        <f t="shared" si="11"/>
        <v>94320.000000000015</v>
      </c>
      <c r="G86" s="224">
        <f t="shared" si="11"/>
        <v>94320</v>
      </c>
      <c r="H86" s="224">
        <f t="shared" si="11"/>
        <v>94320</v>
      </c>
      <c r="I86" s="224">
        <f t="shared" si="11"/>
        <v>98006.000000000015</v>
      </c>
      <c r="J86" s="224">
        <f t="shared" si="11"/>
        <v>106325.00000000001</v>
      </c>
      <c r="K86" s="224">
        <f t="shared" si="11"/>
        <v>126736.00000000001</v>
      </c>
      <c r="L86" s="224">
        <f t="shared" si="11"/>
        <v>250248.00000000003</v>
      </c>
      <c r="M86" s="495"/>
    </row>
    <row r="87" spans="1:13">
      <c r="A87" s="479">
        <v>70</v>
      </c>
      <c r="B87" s="479">
        <v>96050</v>
      </c>
      <c r="C87" s="504">
        <f t="shared" si="8"/>
        <v>1.9000000000000004</v>
      </c>
      <c r="D87" s="479">
        <v>47</v>
      </c>
      <c r="E87" s="192">
        <v>96050</v>
      </c>
      <c r="F87" s="224">
        <f t="shared" si="11"/>
        <v>96050.000000000015</v>
      </c>
      <c r="G87" s="224">
        <f t="shared" si="11"/>
        <v>96050</v>
      </c>
      <c r="H87" s="224">
        <f t="shared" si="11"/>
        <v>96050</v>
      </c>
      <c r="I87" s="224">
        <f t="shared" si="11"/>
        <v>99700.000000000015</v>
      </c>
      <c r="J87" s="224">
        <f t="shared" si="11"/>
        <v>108250.00000000001</v>
      </c>
      <c r="K87" s="224">
        <f t="shared" si="11"/>
        <v>129200.00000000001</v>
      </c>
      <c r="L87" s="224">
        <f t="shared" si="11"/>
        <v>256100.00000000003</v>
      </c>
      <c r="M87" s="495"/>
    </row>
    <row r="88" spans="1:13">
      <c r="A88" s="479">
        <v>71</v>
      </c>
      <c r="B88" s="479">
        <v>97800</v>
      </c>
      <c r="C88" s="504">
        <f t="shared" si="8"/>
        <v>1.9200000000000004</v>
      </c>
      <c r="D88" s="479">
        <v>29</v>
      </c>
      <c r="E88" s="192">
        <v>97568.28</v>
      </c>
      <c r="F88" s="224">
        <f t="shared" si="11"/>
        <v>97800.000000000015</v>
      </c>
      <c r="G88" s="224">
        <f t="shared" si="11"/>
        <v>97568.28</v>
      </c>
      <c r="H88" s="224">
        <f t="shared" si="11"/>
        <v>97568.28</v>
      </c>
      <c r="I88" s="224">
        <f t="shared" si="11"/>
        <v>101416.00000000001</v>
      </c>
      <c r="J88" s="224">
        <f t="shared" si="11"/>
        <v>110200.00000000001</v>
      </c>
      <c r="K88" s="224">
        <f t="shared" si="11"/>
        <v>131696</v>
      </c>
      <c r="L88" s="224">
        <f t="shared" si="11"/>
        <v>262028.00000000003</v>
      </c>
      <c r="M88" s="495"/>
    </row>
    <row r="89" spans="1:13">
      <c r="A89" s="479">
        <v>72</v>
      </c>
      <c r="B89" s="479">
        <v>99570</v>
      </c>
      <c r="C89" s="504">
        <f t="shared" si="8"/>
        <v>1.9400000000000004</v>
      </c>
      <c r="D89" s="479">
        <v>29</v>
      </c>
      <c r="E89" s="192">
        <v>99570</v>
      </c>
      <c r="F89" s="224">
        <f t="shared" ref="F89:L98" si="12">IF(F$3+(F$5*10+($A89-10)*F$6)*$C89&lt;$E89,$E89,F$3+(F$5*10+($A89-10)*F$6)*$C89)</f>
        <v>99570.000000000015</v>
      </c>
      <c r="G89" s="224">
        <f t="shared" si="12"/>
        <v>99570</v>
      </c>
      <c r="H89" s="224">
        <f t="shared" si="12"/>
        <v>99570</v>
      </c>
      <c r="I89" s="224">
        <f t="shared" si="12"/>
        <v>103154.00000000001</v>
      </c>
      <c r="J89" s="224">
        <f t="shared" si="12"/>
        <v>112175.00000000001</v>
      </c>
      <c r="K89" s="224">
        <f t="shared" si="12"/>
        <v>134224</v>
      </c>
      <c r="L89" s="224">
        <f t="shared" si="12"/>
        <v>268032.00000000006</v>
      </c>
      <c r="M89" s="495"/>
    </row>
    <row r="90" spans="1:13">
      <c r="A90" s="479">
        <v>73</v>
      </c>
      <c r="B90" s="479">
        <v>101360</v>
      </c>
      <c r="C90" s="504">
        <f t="shared" si="8"/>
        <v>1.9600000000000004</v>
      </c>
      <c r="D90" s="479">
        <v>22</v>
      </c>
      <c r="E90" s="192">
        <v>101360</v>
      </c>
      <c r="F90" s="224">
        <f t="shared" si="12"/>
        <v>101360.00000000001</v>
      </c>
      <c r="G90" s="224">
        <f t="shared" si="12"/>
        <v>101360</v>
      </c>
      <c r="H90" s="224">
        <f t="shared" si="12"/>
        <v>101360</v>
      </c>
      <c r="I90" s="224">
        <f t="shared" si="12"/>
        <v>104914.00000000001</v>
      </c>
      <c r="J90" s="224">
        <f t="shared" si="12"/>
        <v>114175.00000000001</v>
      </c>
      <c r="K90" s="224">
        <f t="shared" si="12"/>
        <v>136784</v>
      </c>
      <c r="L90" s="224">
        <f t="shared" si="12"/>
        <v>274112.00000000006</v>
      </c>
      <c r="M90" s="495"/>
    </row>
    <row r="91" spans="1:13">
      <c r="A91" s="479">
        <v>74</v>
      </c>
      <c r="B91" s="479">
        <v>103170</v>
      </c>
      <c r="C91" s="504">
        <f t="shared" si="8"/>
        <v>1.9800000000000004</v>
      </c>
      <c r="D91" s="479">
        <v>12</v>
      </c>
      <c r="E91" s="192">
        <v>103170</v>
      </c>
      <c r="F91" s="224">
        <f t="shared" si="12"/>
        <v>103170.00000000001</v>
      </c>
      <c r="G91" s="224">
        <f t="shared" si="12"/>
        <v>103170</v>
      </c>
      <c r="H91" s="224">
        <f t="shared" si="12"/>
        <v>103170</v>
      </c>
      <c r="I91" s="224">
        <f t="shared" si="12"/>
        <v>106696.00000000001</v>
      </c>
      <c r="J91" s="224">
        <f t="shared" si="12"/>
        <v>116200.00000000001</v>
      </c>
      <c r="K91" s="224">
        <f t="shared" si="12"/>
        <v>139376.00000000003</v>
      </c>
      <c r="L91" s="224">
        <f t="shared" si="12"/>
        <v>280268.00000000006</v>
      </c>
      <c r="M91" s="495"/>
    </row>
    <row r="92" spans="1:13">
      <c r="A92" s="479">
        <v>75</v>
      </c>
      <c r="B92" s="479">
        <v>105000</v>
      </c>
      <c r="C92" s="504">
        <f t="shared" si="8"/>
        <v>2.0000000000000004</v>
      </c>
      <c r="D92" s="479">
        <v>6</v>
      </c>
      <c r="E92" s="192">
        <v>105000</v>
      </c>
      <c r="F92" s="224">
        <f t="shared" si="12"/>
        <v>105000.00000000001</v>
      </c>
      <c r="G92" s="224">
        <f t="shared" si="12"/>
        <v>105000</v>
      </c>
      <c r="H92" s="224">
        <f t="shared" si="12"/>
        <v>105000</v>
      </c>
      <c r="I92" s="224">
        <f t="shared" si="12"/>
        <v>108500.00000000001</v>
      </c>
      <c r="J92" s="224">
        <f t="shared" si="12"/>
        <v>118250.00000000001</v>
      </c>
      <c r="K92" s="224">
        <f t="shared" si="12"/>
        <v>142000.00000000003</v>
      </c>
      <c r="L92" s="224">
        <f t="shared" si="12"/>
        <v>286500.00000000006</v>
      </c>
      <c r="M92" s="495"/>
    </row>
    <row r="93" spans="1:13">
      <c r="A93" s="479">
        <v>76</v>
      </c>
      <c r="B93" s="479">
        <v>106000</v>
      </c>
      <c r="C93" s="504">
        <v>2</v>
      </c>
      <c r="D93" s="479">
        <v>11</v>
      </c>
      <c r="E93" s="192">
        <v>105454.55</v>
      </c>
      <c r="F93" s="224">
        <f t="shared" si="12"/>
        <v>106000</v>
      </c>
      <c r="G93" s="224">
        <f t="shared" si="12"/>
        <v>105454.55</v>
      </c>
      <c r="H93" s="224">
        <f t="shared" si="12"/>
        <v>105454.55</v>
      </c>
      <c r="I93" s="224">
        <f t="shared" si="12"/>
        <v>109600</v>
      </c>
      <c r="J93" s="224">
        <f t="shared" si="12"/>
        <v>119500</v>
      </c>
      <c r="K93" s="224">
        <f t="shared" si="12"/>
        <v>143600</v>
      </c>
      <c r="L93" s="224">
        <f t="shared" si="12"/>
        <v>290300</v>
      </c>
      <c r="M93" s="495"/>
    </row>
    <row r="94" spans="1:13">
      <c r="A94" s="479">
        <v>77</v>
      </c>
      <c r="B94" s="479">
        <v>107000</v>
      </c>
      <c r="C94" s="504">
        <v>2</v>
      </c>
      <c r="D94" s="479">
        <v>13</v>
      </c>
      <c r="E94" s="192">
        <v>107000</v>
      </c>
      <c r="F94" s="224">
        <f t="shared" si="12"/>
        <v>107000</v>
      </c>
      <c r="G94" s="224">
        <f t="shared" si="12"/>
        <v>107000</v>
      </c>
      <c r="H94" s="224">
        <f t="shared" si="12"/>
        <v>107000</v>
      </c>
      <c r="I94" s="224">
        <f t="shared" si="12"/>
        <v>110700</v>
      </c>
      <c r="J94" s="224">
        <f t="shared" si="12"/>
        <v>120750</v>
      </c>
      <c r="K94" s="224">
        <f t="shared" si="12"/>
        <v>145200</v>
      </c>
      <c r="L94" s="224">
        <f t="shared" si="12"/>
        <v>294100</v>
      </c>
      <c r="M94" s="495"/>
    </row>
    <row r="95" spans="1:13">
      <c r="A95" s="479">
        <v>78</v>
      </c>
      <c r="B95" s="479">
        <v>108000</v>
      </c>
      <c r="C95" s="504">
        <v>2</v>
      </c>
      <c r="D95" s="479">
        <v>13</v>
      </c>
      <c r="E95" s="192">
        <v>108000</v>
      </c>
      <c r="F95" s="224">
        <f t="shared" si="12"/>
        <v>108000</v>
      </c>
      <c r="G95" s="224">
        <f t="shared" si="12"/>
        <v>108000</v>
      </c>
      <c r="H95" s="224">
        <f t="shared" si="12"/>
        <v>108000</v>
      </c>
      <c r="I95" s="224">
        <f t="shared" si="12"/>
        <v>111800</v>
      </c>
      <c r="J95" s="224">
        <f t="shared" si="12"/>
        <v>122000</v>
      </c>
      <c r="K95" s="224">
        <f t="shared" si="12"/>
        <v>146800</v>
      </c>
      <c r="L95" s="224">
        <f t="shared" si="12"/>
        <v>297900</v>
      </c>
      <c r="M95" s="495"/>
    </row>
    <row r="96" spans="1:13">
      <c r="A96" s="479">
        <v>79</v>
      </c>
      <c r="B96" s="479">
        <v>109000</v>
      </c>
      <c r="C96" s="504">
        <v>2</v>
      </c>
      <c r="D96" s="479">
        <v>12</v>
      </c>
      <c r="E96" s="192">
        <v>106833.33</v>
      </c>
      <c r="F96" s="224">
        <f t="shared" si="12"/>
        <v>109000</v>
      </c>
      <c r="G96" s="224">
        <f t="shared" si="12"/>
        <v>108450</v>
      </c>
      <c r="H96" s="224">
        <f t="shared" si="12"/>
        <v>106833.33</v>
      </c>
      <c r="I96" s="224">
        <f t="shared" si="12"/>
        <v>112900</v>
      </c>
      <c r="J96" s="224">
        <f t="shared" si="12"/>
        <v>123250</v>
      </c>
      <c r="K96" s="224">
        <f t="shared" si="12"/>
        <v>148400</v>
      </c>
      <c r="L96" s="224">
        <f t="shared" si="12"/>
        <v>301700</v>
      </c>
      <c r="M96" s="495"/>
    </row>
    <row r="97" spans="1:13">
      <c r="A97" s="479">
        <v>80</v>
      </c>
      <c r="B97" s="479">
        <v>110000</v>
      </c>
      <c r="C97" s="504">
        <v>2</v>
      </c>
      <c r="D97" s="479">
        <v>7</v>
      </c>
      <c r="E97" s="192">
        <v>110000</v>
      </c>
      <c r="F97" s="224">
        <f t="shared" si="12"/>
        <v>110000</v>
      </c>
      <c r="G97" s="224">
        <f t="shared" si="12"/>
        <v>110000</v>
      </c>
      <c r="H97" s="224">
        <f t="shared" si="12"/>
        <v>110000</v>
      </c>
      <c r="I97" s="224">
        <f t="shared" si="12"/>
        <v>114000</v>
      </c>
      <c r="J97" s="224">
        <f t="shared" si="12"/>
        <v>124500</v>
      </c>
      <c r="K97" s="224">
        <f t="shared" si="12"/>
        <v>150000</v>
      </c>
      <c r="L97" s="224">
        <f t="shared" si="12"/>
        <v>305500</v>
      </c>
      <c r="M97" s="495"/>
    </row>
    <row r="98" spans="1:13">
      <c r="A98" s="479">
        <v>81</v>
      </c>
      <c r="B98" s="479">
        <v>111000</v>
      </c>
      <c r="C98" s="504">
        <v>2</v>
      </c>
      <c r="D98" s="479">
        <v>13</v>
      </c>
      <c r="E98" s="192">
        <v>111000</v>
      </c>
      <c r="F98" s="224">
        <f t="shared" si="12"/>
        <v>111000</v>
      </c>
      <c r="G98" s="224">
        <f t="shared" si="12"/>
        <v>111000</v>
      </c>
      <c r="H98" s="224">
        <f t="shared" si="12"/>
        <v>111000</v>
      </c>
      <c r="I98" s="224">
        <f t="shared" si="12"/>
        <v>115100</v>
      </c>
      <c r="J98" s="224">
        <f t="shared" si="12"/>
        <v>125750</v>
      </c>
      <c r="K98" s="224">
        <f t="shared" si="12"/>
        <v>151600</v>
      </c>
      <c r="L98" s="224">
        <f t="shared" si="12"/>
        <v>309300</v>
      </c>
      <c r="M98" s="496"/>
    </row>
    <row r="99" spans="1:13">
      <c r="A99" s="479">
        <v>82</v>
      </c>
      <c r="B99" s="479">
        <v>112000</v>
      </c>
      <c r="C99" s="504">
        <v>2</v>
      </c>
      <c r="D99" s="479">
        <v>9</v>
      </c>
      <c r="E99" s="192">
        <v>112000</v>
      </c>
      <c r="F99" s="224">
        <f t="shared" ref="F99:L108" si="13">IF(F$3+(F$5*10+($A99-10)*F$6)*$C99&lt;$E99,$E99,F$3+(F$5*10+($A99-10)*F$6)*$C99)</f>
        <v>112000</v>
      </c>
      <c r="G99" s="224">
        <f t="shared" si="13"/>
        <v>112000</v>
      </c>
      <c r="H99" s="224">
        <f t="shared" si="13"/>
        <v>112000</v>
      </c>
      <c r="I99" s="224">
        <f t="shared" si="13"/>
        <v>116200</v>
      </c>
      <c r="J99" s="224">
        <f t="shared" si="13"/>
        <v>127000</v>
      </c>
      <c r="K99" s="224">
        <f t="shared" si="13"/>
        <v>153200</v>
      </c>
      <c r="L99" s="224">
        <f t="shared" si="13"/>
        <v>313100</v>
      </c>
      <c r="M99" s="496"/>
    </row>
    <row r="100" spans="1:13">
      <c r="A100" s="479">
        <v>83</v>
      </c>
      <c r="B100" s="479">
        <v>113000</v>
      </c>
      <c r="C100" s="504">
        <v>2</v>
      </c>
      <c r="D100" s="479">
        <v>9</v>
      </c>
      <c r="E100" s="192">
        <v>113000</v>
      </c>
      <c r="F100" s="224">
        <f t="shared" si="13"/>
        <v>113000</v>
      </c>
      <c r="G100" s="224">
        <f t="shared" si="13"/>
        <v>113000</v>
      </c>
      <c r="H100" s="224">
        <f t="shared" si="13"/>
        <v>113000</v>
      </c>
      <c r="I100" s="224">
        <f t="shared" si="13"/>
        <v>117300</v>
      </c>
      <c r="J100" s="224">
        <f t="shared" si="13"/>
        <v>128250</v>
      </c>
      <c r="K100" s="224">
        <f t="shared" si="13"/>
        <v>154800</v>
      </c>
      <c r="L100" s="224">
        <f t="shared" si="13"/>
        <v>316900</v>
      </c>
      <c r="M100" s="496"/>
    </row>
    <row r="101" spans="1:13">
      <c r="A101" s="479">
        <v>84</v>
      </c>
      <c r="B101" s="479">
        <v>114000</v>
      </c>
      <c r="C101" s="504">
        <v>2</v>
      </c>
      <c r="D101" s="479">
        <v>5</v>
      </c>
      <c r="E101" s="192">
        <v>114000</v>
      </c>
      <c r="F101" s="224">
        <f t="shared" si="13"/>
        <v>114000</v>
      </c>
      <c r="G101" s="224">
        <f t="shared" si="13"/>
        <v>114000</v>
      </c>
      <c r="H101" s="224">
        <f t="shared" si="13"/>
        <v>114000</v>
      </c>
      <c r="I101" s="224">
        <f t="shared" si="13"/>
        <v>118400</v>
      </c>
      <c r="J101" s="224">
        <f t="shared" si="13"/>
        <v>129500</v>
      </c>
      <c r="K101" s="224">
        <f t="shared" si="13"/>
        <v>156400</v>
      </c>
      <c r="L101" s="224">
        <f t="shared" si="13"/>
        <v>320700</v>
      </c>
      <c r="M101" s="496"/>
    </row>
    <row r="102" spans="1:13">
      <c r="A102" s="479">
        <v>85</v>
      </c>
      <c r="B102" s="479">
        <v>115000</v>
      </c>
      <c r="C102" s="504">
        <v>2</v>
      </c>
      <c r="D102" s="479">
        <v>6</v>
      </c>
      <c r="E102" s="192">
        <v>115000</v>
      </c>
      <c r="F102" s="224">
        <f t="shared" si="13"/>
        <v>115000</v>
      </c>
      <c r="G102" s="224">
        <f t="shared" si="13"/>
        <v>115000</v>
      </c>
      <c r="H102" s="224">
        <f t="shared" si="13"/>
        <v>115000</v>
      </c>
      <c r="I102" s="224">
        <f t="shared" si="13"/>
        <v>119500</v>
      </c>
      <c r="J102" s="224">
        <f t="shared" si="13"/>
        <v>130750</v>
      </c>
      <c r="K102" s="224">
        <f t="shared" si="13"/>
        <v>158000</v>
      </c>
      <c r="L102" s="224">
        <f t="shared" si="13"/>
        <v>324500</v>
      </c>
      <c r="M102" s="496"/>
    </row>
    <row r="103" spans="1:13">
      <c r="A103" s="479">
        <v>86</v>
      </c>
      <c r="B103" s="479">
        <v>116000</v>
      </c>
      <c r="C103" s="504">
        <v>2</v>
      </c>
      <c r="D103" s="479">
        <v>8</v>
      </c>
      <c r="E103" s="192">
        <v>116000</v>
      </c>
      <c r="F103" s="224">
        <f t="shared" si="13"/>
        <v>116000</v>
      </c>
      <c r="G103" s="224">
        <f t="shared" si="13"/>
        <v>116000</v>
      </c>
      <c r="H103" s="224">
        <f t="shared" si="13"/>
        <v>116000</v>
      </c>
      <c r="I103" s="224">
        <f t="shared" si="13"/>
        <v>120600</v>
      </c>
      <c r="J103" s="224">
        <f t="shared" si="13"/>
        <v>132000</v>
      </c>
      <c r="K103" s="224">
        <f t="shared" si="13"/>
        <v>159600</v>
      </c>
      <c r="L103" s="224">
        <f t="shared" si="13"/>
        <v>328300</v>
      </c>
      <c r="M103" s="496"/>
    </row>
    <row r="104" spans="1:13">
      <c r="A104" s="479">
        <v>87</v>
      </c>
      <c r="B104" s="479">
        <v>117000</v>
      </c>
      <c r="C104" s="504">
        <v>2</v>
      </c>
      <c r="D104" s="479">
        <v>5</v>
      </c>
      <c r="E104" s="192">
        <v>117000</v>
      </c>
      <c r="F104" s="224">
        <f t="shared" si="13"/>
        <v>117000</v>
      </c>
      <c r="G104" s="224">
        <f t="shared" si="13"/>
        <v>117000</v>
      </c>
      <c r="H104" s="224">
        <f t="shared" si="13"/>
        <v>117000</v>
      </c>
      <c r="I104" s="224">
        <f t="shared" si="13"/>
        <v>121700</v>
      </c>
      <c r="J104" s="224">
        <f t="shared" si="13"/>
        <v>133250</v>
      </c>
      <c r="K104" s="224">
        <f t="shared" si="13"/>
        <v>161200</v>
      </c>
      <c r="L104" s="224">
        <f t="shared" si="13"/>
        <v>332100</v>
      </c>
      <c r="M104" s="496"/>
    </row>
    <row r="105" spans="1:13">
      <c r="A105" s="479">
        <v>88</v>
      </c>
      <c r="B105" s="479">
        <v>118000</v>
      </c>
      <c r="C105" s="504">
        <v>2</v>
      </c>
      <c r="D105" s="479">
        <v>5</v>
      </c>
      <c r="E105" s="192">
        <v>110800</v>
      </c>
      <c r="F105" s="224">
        <f t="shared" si="13"/>
        <v>118000</v>
      </c>
      <c r="G105" s="224">
        <f t="shared" si="13"/>
        <v>117900</v>
      </c>
      <c r="H105" s="224">
        <f t="shared" si="13"/>
        <v>114000</v>
      </c>
      <c r="I105" s="224">
        <f t="shared" si="13"/>
        <v>122800</v>
      </c>
      <c r="J105" s="224">
        <f t="shared" si="13"/>
        <v>134500</v>
      </c>
      <c r="K105" s="224">
        <f t="shared" si="13"/>
        <v>162800</v>
      </c>
      <c r="L105" s="224">
        <f t="shared" si="13"/>
        <v>335900</v>
      </c>
      <c r="M105" s="496"/>
    </row>
    <row r="106" spans="1:13">
      <c r="A106" s="479">
        <v>89</v>
      </c>
      <c r="B106" s="479">
        <v>119000</v>
      </c>
      <c r="C106" s="504">
        <v>2</v>
      </c>
      <c r="D106" s="479">
        <v>5</v>
      </c>
      <c r="E106" s="192">
        <v>119000</v>
      </c>
      <c r="F106" s="224">
        <f t="shared" si="13"/>
        <v>119000</v>
      </c>
      <c r="G106" s="224">
        <f t="shared" si="13"/>
        <v>119000</v>
      </c>
      <c r="H106" s="224">
        <f t="shared" si="13"/>
        <v>119000</v>
      </c>
      <c r="I106" s="224">
        <f t="shared" si="13"/>
        <v>123900</v>
      </c>
      <c r="J106" s="224">
        <f t="shared" si="13"/>
        <v>135750</v>
      </c>
      <c r="K106" s="224">
        <f t="shared" si="13"/>
        <v>164400</v>
      </c>
      <c r="L106" s="224">
        <f t="shared" si="13"/>
        <v>339700</v>
      </c>
      <c r="M106" s="496"/>
    </row>
    <row r="107" spans="1:13">
      <c r="A107" s="479">
        <v>90</v>
      </c>
      <c r="B107" s="479">
        <v>120000</v>
      </c>
      <c r="C107" s="504">
        <v>2</v>
      </c>
      <c r="D107" s="479">
        <v>9</v>
      </c>
      <c r="E107" s="192">
        <v>120000</v>
      </c>
      <c r="F107" s="224">
        <f t="shared" si="13"/>
        <v>120000</v>
      </c>
      <c r="G107" s="224">
        <f t="shared" si="13"/>
        <v>120000</v>
      </c>
      <c r="H107" s="224">
        <f t="shared" si="13"/>
        <v>120000</v>
      </c>
      <c r="I107" s="224">
        <f t="shared" si="13"/>
        <v>125000</v>
      </c>
      <c r="J107" s="224">
        <f t="shared" si="13"/>
        <v>137000</v>
      </c>
      <c r="K107" s="224">
        <f t="shared" si="13"/>
        <v>166000</v>
      </c>
      <c r="L107" s="224">
        <f t="shared" si="13"/>
        <v>343500</v>
      </c>
      <c r="M107" s="496"/>
    </row>
    <row r="108" spans="1:13">
      <c r="A108" s="479">
        <v>91</v>
      </c>
      <c r="B108" s="479">
        <v>121000</v>
      </c>
      <c r="C108" s="504">
        <v>2</v>
      </c>
      <c r="D108" s="479">
        <v>11</v>
      </c>
      <c r="E108" s="192">
        <v>121000</v>
      </c>
      <c r="F108" s="224">
        <f t="shared" si="13"/>
        <v>121000</v>
      </c>
      <c r="G108" s="224">
        <f t="shared" si="13"/>
        <v>121050</v>
      </c>
      <c r="H108" s="224">
        <f t="shared" si="13"/>
        <v>121000</v>
      </c>
      <c r="I108" s="224">
        <f t="shared" si="13"/>
        <v>126100</v>
      </c>
      <c r="J108" s="224">
        <f t="shared" si="13"/>
        <v>138250</v>
      </c>
      <c r="K108" s="224">
        <f t="shared" si="13"/>
        <v>167600</v>
      </c>
      <c r="L108" s="224">
        <f t="shared" si="13"/>
        <v>347300</v>
      </c>
      <c r="M108" s="496"/>
    </row>
    <row r="109" spans="1:13">
      <c r="A109" s="479">
        <v>92</v>
      </c>
      <c r="B109" s="479">
        <v>122000</v>
      </c>
      <c r="C109" s="504">
        <v>2</v>
      </c>
      <c r="D109" s="479">
        <v>8</v>
      </c>
      <c r="E109" s="192">
        <v>122000</v>
      </c>
      <c r="F109" s="224">
        <f t="shared" ref="F109:L118" si="14">IF(F$3+(F$5*10+($A109-10)*F$6)*$C109&lt;$E109,$E109,F$3+(F$5*10+($A109-10)*F$6)*$C109)</f>
        <v>122000</v>
      </c>
      <c r="G109" s="224">
        <f t="shared" si="14"/>
        <v>122100</v>
      </c>
      <c r="H109" s="224">
        <f t="shared" si="14"/>
        <v>122000</v>
      </c>
      <c r="I109" s="224">
        <f t="shared" si="14"/>
        <v>127200</v>
      </c>
      <c r="J109" s="224">
        <f t="shared" si="14"/>
        <v>139500</v>
      </c>
      <c r="K109" s="224">
        <f t="shared" si="14"/>
        <v>169200</v>
      </c>
      <c r="L109" s="224">
        <f t="shared" si="14"/>
        <v>351100</v>
      </c>
      <c r="M109" s="496"/>
    </row>
    <row r="110" spans="1:13">
      <c r="A110" s="479">
        <v>93</v>
      </c>
      <c r="B110" s="479">
        <v>123000</v>
      </c>
      <c r="C110" s="504">
        <v>2</v>
      </c>
      <c r="D110" s="479">
        <v>6</v>
      </c>
      <c r="E110" s="192">
        <v>123000</v>
      </c>
      <c r="F110" s="224">
        <f t="shared" si="14"/>
        <v>123000</v>
      </c>
      <c r="G110" s="224">
        <f t="shared" si="14"/>
        <v>123150</v>
      </c>
      <c r="H110" s="224">
        <f t="shared" si="14"/>
        <v>123000</v>
      </c>
      <c r="I110" s="224">
        <f t="shared" si="14"/>
        <v>128300</v>
      </c>
      <c r="J110" s="224">
        <f t="shared" si="14"/>
        <v>140750</v>
      </c>
      <c r="K110" s="224">
        <f t="shared" si="14"/>
        <v>170800</v>
      </c>
      <c r="L110" s="224">
        <f t="shared" si="14"/>
        <v>354900</v>
      </c>
      <c r="M110" s="496"/>
    </row>
    <row r="111" spans="1:13">
      <c r="A111" s="479">
        <v>94</v>
      </c>
      <c r="B111" s="479">
        <v>124000</v>
      </c>
      <c r="C111" s="504">
        <v>2</v>
      </c>
      <c r="D111" s="479">
        <v>8</v>
      </c>
      <c r="E111" s="192">
        <v>124000</v>
      </c>
      <c r="F111" s="224">
        <f t="shared" si="14"/>
        <v>124000</v>
      </c>
      <c r="G111" s="224">
        <f t="shared" si="14"/>
        <v>124200</v>
      </c>
      <c r="H111" s="224">
        <f t="shared" si="14"/>
        <v>124000</v>
      </c>
      <c r="I111" s="224">
        <f t="shared" si="14"/>
        <v>129400</v>
      </c>
      <c r="J111" s="224">
        <f t="shared" si="14"/>
        <v>142000</v>
      </c>
      <c r="K111" s="224">
        <f t="shared" si="14"/>
        <v>172400</v>
      </c>
      <c r="L111" s="224">
        <f t="shared" si="14"/>
        <v>358700</v>
      </c>
      <c r="M111" s="496"/>
    </row>
    <row r="112" spans="1:13">
      <c r="A112" s="479">
        <v>95</v>
      </c>
      <c r="B112" s="479">
        <v>125000</v>
      </c>
      <c r="C112" s="504">
        <v>2</v>
      </c>
      <c r="D112" s="479">
        <v>4</v>
      </c>
      <c r="E112" s="192">
        <v>125000</v>
      </c>
      <c r="F112" s="224">
        <f t="shared" si="14"/>
        <v>125000</v>
      </c>
      <c r="G112" s="224">
        <f t="shared" si="14"/>
        <v>125250</v>
      </c>
      <c r="H112" s="224">
        <f t="shared" si="14"/>
        <v>125000</v>
      </c>
      <c r="I112" s="224">
        <f t="shared" si="14"/>
        <v>130500</v>
      </c>
      <c r="J112" s="224">
        <f t="shared" si="14"/>
        <v>143250</v>
      </c>
      <c r="K112" s="224">
        <f t="shared" si="14"/>
        <v>174000</v>
      </c>
      <c r="L112" s="224">
        <f t="shared" si="14"/>
        <v>362500</v>
      </c>
      <c r="M112" s="496"/>
    </row>
    <row r="113" spans="1:13">
      <c r="A113" s="479">
        <v>96</v>
      </c>
      <c r="B113" s="479">
        <v>126000</v>
      </c>
      <c r="C113" s="504">
        <v>2</v>
      </c>
      <c r="D113" s="479">
        <v>4</v>
      </c>
      <c r="E113" s="192">
        <v>126000</v>
      </c>
      <c r="F113" s="224">
        <f t="shared" si="14"/>
        <v>126000</v>
      </c>
      <c r="G113" s="224">
        <f t="shared" si="14"/>
        <v>126300</v>
      </c>
      <c r="H113" s="224">
        <f t="shared" si="14"/>
        <v>126000</v>
      </c>
      <c r="I113" s="224">
        <f t="shared" si="14"/>
        <v>131600</v>
      </c>
      <c r="J113" s="224">
        <f t="shared" si="14"/>
        <v>144500</v>
      </c>
      <c r="K113" s="224">
        <f t="shared" si="14"/>
        <v>175600</v>
      </c>
      <c r="L113" s="224">
        <f t="shared" si="14"/>
        <v>366300</v>
      </c>
      <c r="M113" s="496"/>
    </row>
    <row r="114" spans="1:13">
      <c r="A114" s="479">
        <v>97</v>
      </c>
      <c r="B114" s="479">
        <v>127000</v>
      </c>
      <c r="C114" s="504">
        <v>2</v>
      </c>
      <c r="D114" s="479">
        <v>4</v>
      </c>
      <c r="E114" s="192">
        <v>127000</v>
      </c>
      <c r="F114" s="224">
        <f t="shared" si="14"/>
        <v>127000</v>
      </c>
      <c r="G114" s="224">
        <f t="shared" si="14"/>
        <v>127350</v>
      </c>
      <c r="H114" s="224">
        <f t="shared" si="14"/>
        <v>127000</v>
      </c>
      <c r="I114" s="224">
        <f t="shared" si="14"/>
        <v>132700</v>
      </c>
      <c r="J114" s="224">
        <f t="shared" si="14"/>
        <v>145750</v>
      </c>
      <c r="K114" s="224">
        <f t="shared" si="14"/>
        <v>177200</v>
      </c>
      <c r="L114" s="224">
        <f t="shared" si="14"/>
        <v>370100</v>
      </c>
      <c r="M114" s="496"/>
    </row>
    <row r="115" spans="1:13">
      <c r="A115" s="479">
        <v>98</v>
      </c>
      <c r="B115" s="479">
        <v>128000</v>
      </c>
      <c r="C115" s="504">
        <v>2</v>
      </c>
      <c r="D115" s="479">
        <v>7</v>
      </c>
      <c r="E115" s="192">
        <v>127142.86</v>
      </c>
      <c r="F115" s="224">
        <f t="shared" si="14"/>
        <v>128000</v>
      </c>
      <c r="G115" s="224">
        <f t="shared" si="14"/>
        <v>128400</v>
      </c>
      <c r="H115" s="224">
        <f t="shared" si="14"/>
        <v>127142.86</v>
      </c>
      <c r="I115" s="224">
        <f t="shared" si="14"/>
        <v>133800</v>
      </c>
      <c r="J115" s="224">
        <f t="shared" si="14"/>
        <v>147000</v>
      </c>
      <c r="K115" s="224">
        <f t="shared" si="14"/>
        <v>178800</v>
      </c>
      <c r="L115" s="224">
        <f t="shared" si="14"/>
        <v>373900</v>
      </c>
      <c r="M115" s="496"/>
    </row>
    <row r="116" spans="1:13">
      <c r="A116" s="479">
        <v>99</v>
      </c>
      <c r="B116" s="479">
        <v>129000</v>
      </c>
      <c r="C116" s="504">
        <v>2</v>
      </c>
      <c r="D116" s="479">
        <v>8</v>
      </c>
      <c r="E116" s="192">
        <v>129000</v>
      </c>
      <c r="F116" s="224">
        <f t="shared" si="14"/>
        <v>129000</v>
      </c>
      <c r="G116" s="224">
        <f t="shared" si="14"/>
        <v>129450</v>
      </c>
      <c r="H116" s="224">
        <f t="shared" si="14"/>
        <v>129000</v>
      </c>
      <c r="I116" s="224">
        <f t="shared" si="14"/>
        <v>134900</v>
      </c>
      <c r="J116" s="224">
        <f t="shared" si="14"/>
        <v>148250</v>
      </c>
      <c r="K116" s="224">
        <f t="shared" si="14"/>
        <v>180400</v>
      </c>
      <c r="L116" s="224">
        <f t="shared" si="14"/>
        <v>377700</v>
      </c>
      <c r="M116" s="496"/>
    </row>
    <row r="117" spans="1:13">
      <c r="A117" s="479">
        <v>100</v>
      </c>
      <c r="B117" s="479">
        <v>130000</v>
      </c>
      <c r="C117" s="504">
        <v>2</v>
      </c>
      <c r="D117" s="479">
        <v>8</v>
      </c>
      <c r="E117" s="192">
        <v>130000</v>
      </c>
      <c r="F117" s="224">
        <f t="shared" si="14"/>
        <v>130000</v>
      </c>
      <c r="G117" s="224">
        <f t="shared" si="14"/>
        <v>130500</v>
      </c>
      <c r="H117" s="224">
        <f t="shared" si="14"/>
        <v>130000</v>
      </c>
      <c r="I117" s="224">
        <f t="shared" si="14"/>
        <v>136000</v>
      </c>
      <c r="J117" s="224">
        <f t="shared" si="14"/>
        <v>149500</v>
      </c>
      <c r="K117" s="224">
        <f t="shared" si="14"/>
        <v>182000</v>
      </c>
      <c r="L117" s="224">
        <f t="shared" si="14"/>
        <v>381500</v>
      </c>
      <c r="M117" s="496"/>
    </row>
    <row r="118" spans="1:13">
      <c r="A118" s="479">
        <v>101</v>
      </c>
      <c r="B118" s="479">
        <v>131000</v>
      </c>
      <c r="C118" s="504">
        <v>2</v>
      </c>
      <c r="D118" s="479">
        <v>4</v>
      </c>
      <c r="E118" s="192">
        <v>131000</v>
      </c>
      <c r="F118" s="224">
        <f t="shared" si="14"/>
        <v>131000</v>
      </c>
      <c r="G118" s="224">
        <f t="shared" si="14"/>
        <v>131550</v>
      </c>
      <c r="H118" s="224">
        <f t="shared" si="14"/>
        <v>131000</v>
      </c>
      <c r="I118" s="224">
        <f t="shared" si="14"/>
        <v>137100</v>
      </c>
      <c r="J118" s="224">
        <f t="shared" si="14"/>
        <v>150750</v>
      </c>
      <c r="K118" s="224">
        <f t="shared" si="14"/>
        <v>183600</v>
      </c>
      <c r="L118" s="224">
        <f t="shared" si="14"/>
        <v>385300</v>
      </c>
      <c r="M118" s="496"/>
    </row>
    <row r="119" spans="1:13">
      <c r="A119" s="479">
        <v>102</v>
      </c>
      <c r="B119" s="479">
        <v>132000</v>
      </c>
      <c r="C119" s="504">
        <v>2</v>
      </c>
      <c r="D119" s="479">
        <v>7</v>
      </c>
      <c r="E119" s="192">
        <v>132000</v>
      </c>
      <c r="F119" s="224">
        <f t="shared" ref="F119:L128" si="15">IF(F$3+(F$5*10+($A119-10)*F$6)*$C119&lt;$E119,$E119,F$3+(F$5*10+($A119-10)*F$6)*$C119)</f>
        <v>132000</v>
      </c>
      <c r="G119" s="224">
        <f t="shared" si="15"/>
        <v>132600</v>
      </c>
      <c r="H119" s="224">
        <f t="shared" si="15"/>
        <v>132000</v>
      </c>
      <c r="I119" s="224">
        <f t="shared" si="15"/>
        <v>138200</v>
      </c>
      <c r="J119" s="224">
        <f t="shared" si="15"/>
        <v>152000</v>
      </c>
      <c r="K119" s="224">
        <f t="shared" si="15"/>
        <v>185200</v>
      </c>
      <c r="L119" s="224">
        <f t="shared" si="15"/>
        <v>389100</v>
      </c>
      <c r="M119" s="496"/>
    </row>
    <row r="120" spans="1:13">
      <c r="A120" s="479">
        <v>103</v>
      </c>
      <c r="B120" s="479">
        <v>133000</v>
      </c>
      <c r="C120" s="504">
        <v>2</v>
      </c>
      <c r="D120" s="479">
        <v>6</v>
      </c>
      <c r="E120" s="192">
        <v>133000</v>
      </c>
      <c r="F120" s="224">
        <f t="shared" si="15"/>
        <v>133000</v>
      </c>
      <c r="G120" s="224">
        <f t="shared" si="15"/>
        <v>133650</v>
      </c>
      <c r="H120" s="224">
        <f t="shared" si="15"/>
        <v>133000</v>
      </c>
      <c r="I120" s="224">
        <f t="shared" si="15"/>
        <v>139300</v>
      </c>
      <c r="J120" s="224">
        <f t="shared" si="15"/>
        <v>153250</v>
      </c>
      <c r="K120" s="224">
        <f t="shared" si="15"/>
        <v>186800</v>
      </c>
      <c r="L120" s="224">
        <f t="shared" si="15"/>
        <v>392900</v>
      </c>
      <c r="M120" s="496"/>
    </row>
    <row r="121" spans="1:13">
      <c r="A121" s="479">
        <v>104</v>
      </c>
      <c r="B121" s="479">
        <v>134000</v>
      </c>
      <c r="C121" s="504">
        <v>2</v>
      </c>
      <c r="D121" s="479">
        <v>5</v>
      </c>
      <c r="E121" s="192">
        <v>134000</v>
      </c>
      <c r="F121" s="224">
        <f t="shared" si="15"/>
        <v>134000</v>
      </c>
      <c r="G121" s="224">
        <f t="shared" si="15"/>
        <v>134700</v>
      </c>
      <c r="H121" s="224">
        <f t="shared" si="15"/>
        <v>134000</v>
      </c>
      <c r="I121" s="224">
        <f t="shared" si="15"/>
        <v>140400</v>
      </c>
      <c r="J121" s="224">
        <f t="shared" si="15"/>
        <v>154500</v>
      </c>
      <c r="K121" s="224">
        <f t="shared" si="15"/>
        <v>188400</v>
      </c>
      <c r="L121" s="224">
        <f t="shared" si="15"/>
        <v>396700</v>
      </c>
      <c r="M121" s="496"/>
    </row>
    <row r="122" spans="1:13">
      <c r="A122" s="479">
        <v>105</v>
      </c>
      <c r="B122" s="480">
        <v>135000</v>
      </c>
      <c r="C122" s="504">
        <v>2</v>
      </c>
      <c r="D122" s="479">
        <v>6</v>
      </c>
      <c r="E122" s="192">
        <v>135708.32999999999</v>
      </c>
      <c r="F122" s="224">
        <f t="shared" si="15"/>
        <v>135708.32999999999</v>
      </c>
      <c r="G122" s="224">
        <f t="shared" si="15"/>
        <v>135750</v>
      </c>
      <c r="H122" s="224">
        <f t="shared" si="15"/>
        <v>135708.32999999999</v>
      </c>
      <c r="I122" s="224">
        <f t="shared" si="15"/>
        <v>141500</v>
      </c>
      <c r="J122" s="224">
        <f t="shared" si="15"/>
        <v>155750</v>
      </c>
      <c r="K122" s="224">
        <f t="shared" si="15"/>
        <v>190000</v>
      </c>
      <c r="L122" s="224">
        <f t="shared" si="15"/>
        <v>400500</v>
      </c>
      <c r="M122" s="496"/>
    </row>
    <row r="123" spans="1:13">
      <c r="A123" s="479">
        <v>106</v>
      </c>
      <c r="B123" s="479">
        <v>136000</v>
      </c>
      <c r="C123" s="504">
        <v>2</v>
      </c>
      <c r="D123" s="479">
        <v>5</v>
      </c>
      <c r="E123" s="192">
        <v>137974</v>
      </c>
      <c r="F123" s="224">
        <f t="shared" si="15"/>
        <v>137974</v>
      </c>
      <c r="G123" s="224">
        <f t="shared" si="15"/>
        <v>137974</v>
      </c>
      <c r="H123" s="224">
        <f t="shared" si="15"/>
        <v>137974</v>
      </c>
      <c r="I123" s="224">
        <f t="shared" si="15"/>
        <v>142600</v>
      </c>
      <c r="J123" s="224">
        <f t="shared" si="15"/>
        <v>157000</v>
      </c>
      <c r="K123" s="224">
        <f t="shared" si="15"/>
        <v>191600</v>
      </c>
      <c r="L123" s="224">
        <f t="shared" si="15"/>
        <v>404300</v>
      </c>
      <c r="M123" s="496"/>
    </row>
    <row r="124" spans="1:13">
      <c r="A124" s="479">
        <v>107</v>
      </c>
      <c r="B124" s="479">
        <v>137000</v>
      </c>
      <c r="C124" s="504">
        <v>2</v>
      </c>
      <c r="D124" s="479">
        <v>6</v>
      </c>
      <c r="E124" s="192">
        <v>140116</v>
      </c>
      <c r="F124" s="224">
        <f t="shared" si="15"/>
        <v>140116</v>
      </c>
      <c r="G124" s="224">
        <f t="shared" si="15"/>
        <v>140116</v>
      </c>
      <c r="H124" s="224">
        <f t="shared" si="15"/>
        <v>140116</v>
      </c>
      <c r="I124" s="224">
        <f t="shared" si="15"/>
        <v>143700</v>
      </c>
      <c r="J124" s="224">
        <f t="shared" si="15"/>
        <v>158250</v>
      </c>
      <c r="K124" s="224">
        <f t="shared" si="15"/>
        <v>193200</v>
      </c>
      <c r="L124" s="224">
        <f t="shared" si="15"/>
        <v>408100</v>
      </c>
      <c r="M124" s="496"/>
    </row>
    <row r="125" spans="1:13">
      <c r="A125" s="479">
        <v>108</v>
      </c>
      <c r="B125" s="479">
        <v>138000</v>
      </c>
      <c r="C125" s="504">
        <v>2</v>
      </c>
      <c r="D125" s="479">
        <v>4</v>
      </c>
      <c r="E125" s="192">
        <v>141207</v>
      </c>
      <c r="F125" s="224">
        <f t="shared" si="15"/>
        <v>141207</v>
      </c>
      <c r="G125" s="224">
        <f t="shared" si="15"/>
        <v>141207</v>
      </c>
      <c r="H125" s="224">
        <f t="shared" si="15"/>
        <v>141207</v>
      </c>
      <c r="I125" s="224">
        <f t="shared" si="15"/>
        <v>144800</v>
      </c>
      <c r="J125" s="224">
        <f t="shared" si="15"/>
        <v>159500</v>
      </c>
      <c r="K125" s="224">
        <f t="shared" si="15"/>
        <v>194800</v>
      </c>
      <c r="L125" s="224">
        <f t="shared" si="15"/>
        <v>411900</v>
      </c>
      <c r="M125" s="495"/>
    </row>
    <row r="126" spans="1:13">
      <c r="A126" s="479">
        <v>109</v>
      </c>
      <c r="B126" s="479">
        <v>139000</v>
      </c>
      <c r="C126" s="504">
        <v>2</v>
      </c>
      <c r="D126" s="479">
        <v>5</v>
      </c>
      <c r="E126" s="192">
        <v>144454</v>
      </c>
      <c r="F126" s="224">
        <f t="shared" si="15"/>
        <v>144454</v>
      </c>
      <c r="G126" s="224">
        <f t="shared" si="15"/>
        <v>144454</v>
      </c>
      <c r="H126" s="224">
        <f t="shared" si="15"/>
        <v>144454</v>
      </c>
      <c r="I126" s="224">
        <f t="shared" si="15"/>
        <v>145900</v>
      </c>
      <c r="J126" s="224">
        <f t="shared" si="15"/>
        <v>160750</v>
      </c>
      <c r="K126" s="224">
        <f t="shared" si="15"/>
        <v>196400</v>
      </c>
      <c r="L126" s="224">
        <f t="shared" si="15"/>
        <v>415700</v>
      </c>
      <c r="M126" s="495"/>
    </row>
    <row r="127" spans="1:13">
      <c r="A127" s="479">
        <v>110</v>
      </c>
      <c r="B127" s="479">
        <v>140000</v>
      </c>
      <c r="C127" s="504">
        <v>2</v>
      </c>
      <c r="D127" s="479">
        <v>5</v>
      </c>
      <c r="E127" s="192">
        <v>146650</v>
      </c>
      <c r="F127" s="224">
        <f t="shared" si="15"/>
        <v>146650</v>
      </c>
      <c r="G127" s="224">
        <f t="shared" si="15"/>
        <v>146650</v>
      </c>
      <c r="H127" s="224">
        <f t="shared" si="15"/>
        <v>146650</v>
      </c>
      <c r="I127" s="224">
        <f t="shared" si="15"/>
        <v>147000</v>
      </c>
      <c r="J127" s="224">
        <f t="shared" si="15"/>
        <v>162000</v>
      </c>
      <c r="K127" s="224">
        <f t="shared" si="15"/>
        <v>198000</v>
      </c>
      <c r="L127" s="224">
        <f t="shared" si="15"/>
        <v>419500</v>
      </c>
      <c r="M127" s="495"/>
    </row>
    <row r="128" spans="1:13">
      <c r="A128" s="479">
        <v>111</v>
      </c>
      <c r="B128" s="479">
        <v>141000</v>
      </c>
      <c r="C128" s="504">
        <v>2</v>
      </c>
      <c r="D128" s="479">
        <v>3</v>
      </c>
      <c r="E128" s="192">
        <v>148864</v>
      </c>
      <c r="F128" s="224">
        <f t="shared" si="15"/>
        <v>148864</v>
      </c>
      <c r="G128" s="224">
        <f t="shared" si="15"/>
        <v>148864</v>
      </c>
      <c r="H128" s="224">
        <f t="shared" si="15"/>
        <v>148864</v>
      </c>
      <c r="I128" s="224">
        <f t="shared" si="15"/>
        <v>148864</v>
      </c>
      <c r="J128" s="224">
        <f t="shared" si="15"/>
        <v>163250</v>
      </c>
      <c r="K128" s="224">
        <f t="shared" si="15"/>
        <v>199600</v>
      </c>
      <c r="L128" s="224">
        <f t="shared" si="15"/>
        <v>423300</v>
      </c>
      <c r="M128" s="495"/>
    </row>
    <row r="129" spans="1:13">
      <c r="A129" s="479">
        <v>112</v>
      </c>
      <c r="B129" s="479">
        <v>142000</v>
      </c>
      <c r="C129" s="504">
        <v>2</v>
      </c>
      <c r="D129" s="479">
        <v>2</v>
      </c>
      <c r="E129" s="192">
        <v>146548</v>
      </c>
      <c r="F129" s="224">
        <f t="shared" ref="F129:L138" si="16">IF(F$3+(F$5*10+($A129-10)*F$6)*$C129&lt;$E129,$E129,F$3+(F$5*10+($A129-10)*F$6)*$C129)</f>
        <v>146548</v>
      </c>
      <c r="G129" s="224">
        <f t="shared" si="16"/>
        <v>146548</v>
      </c>
      <c r="H129" s="224">
        <f t="shared" si="16"/>
        <v>146548</v>
      </c>
      <c r="I129" s="224">
        <f t="shared" si="16"/>
        <v>149200</v>
      </c>
      <c r="J129" s="224">
        <f t="shared" si="16"/>
        <v>164500</v>
      </c>
      <c r="K129" s="224">
        <f t="shared" si="16"/>
        <v>201200</v>
      </c>
      <c r="L129" s="224">
        <f t="shared" si="16"/>
        <v>427100</v>
      </c>
      <c r="M129" s="495"/>
    </row>
    <row r="130" spans="1:13">
      <c r="A130" s="479">
        <v>113</v>
      </c>
      <c r="B130" s="479">
        <v>143000</v>
      </c>
      <c r="C130" s="504">
        <v>2</v>
      </c>
      <c r="D130" s="479">
        <v>9</v>
      </c>
      <c r="E130" s="192">
        <v>152196.44</v>
      </c>
      <c r="F130" s="224">
        <f t="shared" si="16"/>
        <v>152196.44</v>
      </c>
      <c r="G130" s="224">
        <f t="shared" si="16"/>
        <v>152196.44</v>
      </c>
      <c r="H130" s="224">
        <f t="shared" si="16"/>
        <v>152196.44</v>
      </c>
      <c r="I130" s="224">
        <f t="shared" si="16"/>
        <v>152196.44</v>
      </c>
      <c r="J130" s="224">
        <f t="shared" si="16"/>
        <v>165750</v>
      </c>
      <c r="K130" s="224">
        <f t="shared" si="16"/>
        <v>202800</v>
      </c>
      <c r="L130" s="224">
        <f t="shared" si="16"/>
        <v>430900</v>
      </c>
      <c r="M130" s="495"/>
    </row>
    <row r="131" spans="1:13">
      <c r="A131" s="479">
        <v>114</v>
      </c>
      <c r="B131" s="479">
        <v>144000</v>
      </c>
      <c r="C131" s="504">
        <v>2</v>
      </c>
      <c r="D131" s="479">
        <v>2</v>
      </c>
      <c r="E131" s="192">
        <v>155614</v>
      </c>
      <c r="F131" s="224">
        <f t="shared" si="16"/>
        <v>155614</v>
      </c>
      <c r="G131" s="224">
        <f t="shared" si="16"/>
        <v>155614</v>
      </c>
      <c r="H131" s="224">
        <f t="shared" si="16"/>
        <v>155614</v>
      </c>
      <c r="I131" s="224">
        <f t="shared" si="16"/>
        <v>155614</v>
      </c>
      <c r="J131" s="224">
        <f t="shared" si="16"/>
        <v>167000</v>
      </c>
      <c r="K131" s="224">
        <f t="shared" si="16"/>
        <v>204400</v>
      </c>
      <c r="L131" s="224">
        <f t="shared" si="16"/>
        <v>434700</v>
      </c>
      <c r="M131" s="495"/>
    </row>
    <row r="132" spans="1:13">
      <c r="A132" s="479">
        <v>115</v>
      </c>
      <c r="B132" s="479">
        <v>145000</v>
      </c>
      <c r="C132" s="504">
        <v>2</v>
      </c>
      <c r="D132" s="479">
        <v>6</v>
      </c>
      <c r="E132" s="192">
        <v>155750</v>
      </c>
      <c r="F132" s="224">
        <f t="shared" si="16"/>
        <v>155750</v>
      </c>
      <c r="G132" s="224">
        <f t="shared" si="16"/>
        <v>155750</v>
      </c>
      <c r="H132" s="224">
        <f t="shared" si="16"/>
        <v>155750</v>
      </c>
      <c r="I132" s="224">
        <f t="shared" si="16"/>
        <v>155750</v>
      </c>
      <c r="J132" s="224">
        <f t="shared" si="16"/>
        <v>168250</v>
      </c>
      <c r="K132" s="224">
        <f t="shared" si="16"/>
        <v>206000</v>
      </c>
      <c r="L132" s="224">
        <f t="shared" si="16"/>
        <v>438500</v>
      </c>
      <c r="M132" s="495"/>
    </row>
    <row r="133" spans="1:13">
      <c r="A133" s="479">
        <v>116</v>
      </c>
      <c r="B133" s="479">
        <v>146000</v>
      </c>
      <c r="C133" s="504">
        <v>2</v>
      </c>
      <c r="D133" s="479">
        <v>4</v>
      </c>
      <c r="E133" s="192">
        <v>157369</v>
      </c>
      <c r="F133" s="224">
        <f t="shared" si="16"/>
        <v>157369</v>
      </c>
      <c r="G133" s="224">
        <f t="shared" si="16"/>
        <v>157369</v>
      </c>
      <c r="H133" s="224">
        <f t="shared" si="16"/>
        <v>157369</v>
      </c>
      <c r="I133" s="224">
        <f t="shared" si="16"/>
        <v>157369</v>
      </c>
      <c r="J133" s="224">
        <f t="shared" si="16"/>
        <v>169500</v>
      </c>
      <c r="K133" s="224">
        <f t="shared" si="16"/>
        <v>207600</v>
      </c>
      <c r="L133" s="224">
        <f t="shared" si="16"/>
        <v>442300</v>
      </c>
      <c r="M133" s="495"/>
    </row>
    <row r="134" spans="1:13">
      <c r="A134" s="479">
        <v>117</v>
      </c>
      <c r="B134" s="479">
        <v>147000</v>
      </c>
      <c r="C134" s="504">
        <v>2</v>
      </c>
      <c r="D134" s="479">
        <v>4</v>
      </c>
      <c r="E134" s="192">
        <v>158064</v>
      </c>
      <c r="F134" s="224">
        <f t="shared" si="16"/>
        <v>158064</v>
      </c>
      <c r="G134" s="224">
        <f t="shared" si="16"/>
        <v>158064</v>
      </c>
      <c r="H134" s="224">
        <f t="shared" si="16"/>
        <v>158064</v>
      </c>
      <c r="I134" s="224">
        <f t="shared" si="16"/>
        <v>158064</v>
      </c>
      <c r="J134" s="224">
        <f t="shared" si="16"/>
        <v>170750</v>
      </c>
      <c r="K134" s="224">
        <f t="shared" si="16"/>
        <v>209200</v>
      </c>
      <c r="L134" s="224">
        <f t="shared" si="16"/>
        <v>446100</v>
      </c>
      <c r="M134" s="495"/>
    </row>
    <row r="135" spans="1:13">
      <c r="A135" s="479">
        <v>118</v>
      </c>
      <c r="B135" s="479">
        <v>148000</v>
      </c>
      <c r="C135" s="504">
        <v>2</v>
      </c>
      <c r="D135" s="479">
        <v>7</v>
      </c>
      <c r="E135" s="192">
        <v>162456.57</v>
      </c>
      <c r="F135" s="224">
        <f t="shared" si="16"/>
        <v>162456.57</v>
      </c>
      <c r="G135" s="224">
        <f t="shared" si="16"/>
        <v>162456.57</v>
      </c>
      <c r="H135" s="224">
        <f t="shared" si="16"/>
        <v>162456.57</v>
      </c>
      <c r="I135" s="224">
        <f t="shared" si="16"/>
        <v>162456.57</v>
      </c>
      <c r="J135" s="224">
        <f t="shared" si="16"/>
        <v>172000</v>
      </c>
      <c r="K135" s="224">
        <f t="shared" si="16"/>
        <v>210800</v>
      </c>
      <c r="L135" s="224">
        <f t="shared" si="16"/>
        <v>449900</v>
      </c>
      <c r="M135" s="501"/>
    </row>
    <row r="136" spans="1:13">
      <c r="A136" s="479">
        <v>119</v>
      </c>
      <c r="B136" s="479">
        <v>149000</v>
      </c>
      <c r="C136" s="504">
        <v>2</v>
      </c>
      <c r="D136" s="479">
        <v>8</v>
      </c>
      <c r="E136" s="192">
        <v>166051.75</v>
      </c>
      <c r="F136" s="224">
        <f t="shared" si="16"/>
        <v>166051.75</v>
      </c>
      <c r="G136" s="224">
        <f t="shared" si="16"/>
        <v>166051.75</v>
      </c>
      <c r="H136" s="224">
        <f t="shared" si="16"/>
        <v>166051.75</v>
      </c>
      <c r="I136" s="224">
        <f t="shared" si="16"/>
        <v>166051.75</v>
      </c>
      <c r="J136" s="224">
        <f t="shared" si="16"/>
        <v>173250</v>
      </c>
      <c r="K136" s="224">
        <f t="shared" si="16"/>
        <v>212400</v>
      </c>
      <c r="L136" s="224">
        <f t="shared" si="16"/>
        <v>453700</v>
      </c>
      <c r="M136" s="495"/>
    </row>
    <row r="137" spans="1:13">
      <c r="A137" s="479">
        <v>120</v>
      </c>
      <c r="B137" s="479">
        <v>150000</v>
      </c>
      <c r="C137" s="504">
        <v>2</v>
      </c>
      <c r="D137" s="479">
        <v>4</v>
      </c>
      <c r="E137" s="192">
        <v>169600</v>
      </c>
      <c r="F137" s="224">
        <f t="shared" si="16"/>
        <v>169600</v>
      </c>
      <c r="G137" s="224">
        <f t="shared" si="16"/>
        <v>169600</v>
      </c>
      <c r="H137" s="224">
        <f t="shared" si="16"/>
        <v>169600</v>
      </c>
      <c r="I137" s="224">
        <f t="shared" si="16"/>
        <v>169600</v>
      </c>
      <c r="J137" s="224">
        <f t="shared" si="16"/>
        <v>174500</v>
      </c>
      <c r="K137" s="224">
        <f t="shared" si="16"/>
        <v>214000</v>
      </c>
      <c r="L137" s="224">
        <f t="shared" si="16"/>
        <v>457500</v>
      </c>
      <c r="M137" s="495"/>
    </row>
    <row r="138" spans="1:13">
      <c r="A138" s="479">
        <v>121</v>
      </c>
      <c r="B138" s="479">
        <v>151000</v>
      </c>
      <c r="C138" s="504">
        <v>2</v>
      </c>
      <c r="D138" s="479">
        <v>5</v>
      </c>
      <c r="E138" s="192">
        <v>171994</v>
      </c>
      <c r="F138" s="224">
        <f t="shared" si="16"/>
        <v>171994</v>
      </c>
      <c r="G138" s="224">
        <f t="shared" si="16"/>
        <v>171994</v>
      </c>
      <c r="H138" s="224">
        <f t="shared" si="16"/>
        <v>171994</v>
      </c>
      <c r="I138" s="224">
        <f t="shared" si="16"/>
        <v>171994</v>
      </c>
      <c r="J138" s="224">
        <f t="shared" si="16"/>
        <v>175750</v>
      </c>
      <c r="K138" s="224">
        <f t="shared" si="16"/>
        <v>215600</v>
      </c>
      <c r="L138" s="224">
        <f t="shared" si="16"/>
        <v>461300</v>
      </c>
      <c r="M138" s="495"/>
    </row>
    <row r="139" spans="1:13">
      <c r="A139" s="479">
        <v>122</v>
      </c>
      <c r="B139" s="479">
        <v>152000</v>
      </c>
      <c r="C139" s="504">
        <v>2</v>
      </c>
      <c r="D139" s="479">
        <v>3</v>
      </c>
      <c r="E139" s="192">
        <v>174406</v>
      </c>
      <c r="F139" s="224">
        <f t="shared" ref="F139:L148" si="17">IF(F$3+(F$5*10+($A139-10)*F$6)*$C139&lt;$E139,$E139,F$3+(F$5*10+($A139-10)*F$6)*$C139)</f>
        <v>174406</v>
      </c>
      <c r="G139" s="224">
        <f t="shared" si="17"/>
        <v>174406</v>
      </c>
      <c r="H139" s="224">
        <f t="shared" si="17"/>
        <v>174406</v>
      </c>
      <c r="I139" s="224">
        <f t="shared" si="17"/>
        <v>174406</v>
      </c>
      <c r="J139" s="224">
        <f t="shared" si="17"/>
        <v>177000</v>
      </c>
      <c r="K139" s="224">
        <f t="shared" si="17"/>
        <v>217200</v>
      </c>
      <c r="L139" s="224">
        <f t="shared" si="17"/>
        <v>465100</v>
      </c>
      <c r="M139" s="495"/>
    </row>
    <row r="140" spans="1:13">
      <c r="A140" s="479">
        <v>123</v>
      </c>
      <c r="B140" s="479">
        <v>153000</v>
      </c>
      <c r="C140" s="504">
        <v>2</v>
      </c>
      <c r="D140" s="479">
        <v>4</v>
      </c>
      <c r="E140" s="192">
        <v>176228.5</v>
      </c>
      <c r="F140" s="224">
        <f t="shared" si="17"/>
        <v>176228.5</v>
      </c>
      <c r="G140" s="224">
        <f t="shared" si="17"/>
        <v>176228.5</v>
      </c>
      <c r="H140" s="224">
        <f t="shared" si="17"/>
        <v>176228.5</v>
      </c>
      <c r="I140" s="224">
        <f t="shared" si="17"/>
        <v>176228.5</v>
      </c>
      <c r="J140" s="224">
        <f t="shared" si="17"/>
        <v>178250</v>
      </c>
      <c r="K140" s="224">
        <f t="shared" si="17"/>
        <v>218800</v>
      </c>
      <c r="L140" s="224">
        <f t="shared" si="17"/>
        <v>468900</v>
      </c>
      <c r="M140" s="495"/>
    </row>
    <row r="141" spans="1:13">
      <c r="A141" s="479">
        <v>124</v>
      </c>
      <c r="B141" s="479">
        <v>154000</v>
      </c>
      <c r="C141" s="504">
        <v>2</v>
      </c>
      <c r="D141" s="479">
        <v>1</v>
      </c>
      <c r="E141" s="192">
        <v>179284</v>
      </c>
      <c r="F141" s="224">
        <f t="shared" si="17"/>
        <v>179284</v>
      </c>
      <c r="G141" s="224">
        <f t="shared" si="17"/>
        <v>179284</v>
      </c>
      <c r="H141" s="224">
        <f t="shared" si="17"/>
        <v>179284</v>
      </c>
      <c r="I141" s="224">
        <f t="shared" si="17"/>
        <v>179284</v>
      </c>
      <c r="J141" s="224">
        <f t="shared" si="17"/>
        <v>179500</v>
      </c>
      <c r="K141" s="224">
        <f t="shared" si="17"/>
        <v>220400</v>
      </c>
      <c r="L141" s="224">
        <f t="shared" si="17"/>
        <v>472700</v>
      </c>
      <c r="M141" s="495"/>
    </row>
    <row r="142" spans="1:13">
      <c r="A142" s="479">
        <v>125</v>
      </c>
      <c r="B142" s="479">
        <v>155000</v>
      </c>
      <c r="C142" s="504">
        <v>2</v>
      </c>
      <c r="D142" s="479">
        <v>4</v>
      </c>
      <c r="E142" s="192">
        <v>176363.5</v>
      </c>
      <c r="F142" s="224">
        <f t="shared" si="17"/>
        <v>176363.5</v>
      </c>
      <c r="G142" s="224">
        <f t="shared" si="17"/>
        <v>176363.5</v>
      </c>
      <c r="H142" s="224">
        <f t="shared" si="17"/>
        <v>176363.5</v>
      </c>
      <c r="I142" s="224">
        <f t="shared" si="17"/>
        <v>176363.5</v>
      </c>
      <c r="J142" s="224">
        <f t="shared" si="17"/>
        <v>180750</v>
      </c>
      <c r="K142" s="224">
        <f t="shared" si="17"/>
        <v>222000</v>
      </c>
      <c r="L142" s="224">
        <f t="shared" si="17"/>
        <v>476500</v>
      </c>
      <c r="M142" s="495"/>
    </row>
    <row r="143" spans="1:13">
      <c r="A143" s="479">
        <v>126</v>
      </c>
      <c r="B143" s="479">
        <v>156000</v>
      </c>
      <c r="C143" s="504">
        <v>2</v>
      </c>
      <c r="D143" s="479">
        <v>2</v>
      </c>
      <c r="E143" s="192">
        <v>170117</v>
      </c>
      <c r="F143" s="224">
        <f t="shared" si="17"/>
        <v>170117</v>
      </c>
      <c r="G143" s="224">
        <f t="shared" si="17"/>
        <v>170117</v>
      </c>
      <c r="H143" s="224">
        <f t="shared" si="17"/>
        <v>170117</v>
      </c>
      <c r="I143" s="224">
        <f t="shared" si="17"/>
        <v>170117</v>
      </c>
      <c r="J143" s="224">
        <f t="shared" si="17"/>
        <v>182000</v>
      </c>
      <c r="K143" s="224">
        <f t="shared" si="17"/>
        <v>223600</v>
      </c>
      <c r="L143" s="224">
        <f t="shared" si="17"/>
        <v>480300</v>
      </c>
      <c r="M143" s="495"/>
    </row>
    <row r="144" spans="1:13">
      <c r="A144" s="479">
        <v>127</v>
      </c>
      <c r="B144" s="479">
        <v>157000</v>
      </c>
      <c r="C144" s="504">
        <v>2</v>
      </c>
      <c r="D144" s="479">
        <v>7</v>
      </c>
      <c r="E144" s="192">
        <v>186736</v>
      </c>
      <c r="F144" s="224">
        <f t="shared" si="17"/>
        <v>186736</v>
      </c>
      <c r="G144" s="224">
        <f t="shared" si="17"/>
        <v>186736</v>
      </c>
      <c r="H144" s="224">
        <f t="shared" si="17"/>
        <v>186736</v>
      </c>
      <c r="I144" s="224">
        <f t="shared" si="17"/>
        <v>186736</v>
      </c>
      <c r="J144" s="224">
        <f t="shared" si="17"/>
        <v>186736</v>
      </c>
      <c r="K144" s="224">
        <f t="shared" si="17"/>
        <v>225200</v>
      </c>
      <c r="L144" s="224">
        <f t="shared" si="17"/>
        <v>484100</v>
      </c>
      <c r="M144" s="495"/>
    </row>
    <row r="145" spans="1:13">
      <c r="A145" s="479">
        <v>128</v>
      </c>
      <c r="B145" s="479">
        <v>158000</v>
      </c>
      <c r="C145" s="504">
        <v>2</v>
      </c>
      <c r="D145" s="479">
        <v>3</v>
      </c>
      <c r="E145" s="192">
        <v>189256</v>
      </c>
      <c r="F145" s="224">
        <f t="shared" si="17"/>
        <v>189256</v>
      </c>
      <c r="G145" s="224">
        <f t="shared" si="17"/>
        <v>189256</v>
      </c>
      <c r="H145" s="224">
        <f t="shared" si="17"/>
        <v>189256</v>
      </c>
      <c r="I145" s="224">
        <f t="shared" si="17"/>
        <v>189256</v>
      </c>
      <c r="J145" s="224">
        <f t="shared" si="17"/>
        <v>189256</v>
      </c>
      <c r="K145" s="224">
        <f t="shared" si="17"/>
        <v>226800</v>
      </c>
      <c r="L145" s="224">
        <f t="shared" si="17"/>
        <v>487900</v>
      </c>
      <c r="M145" s="495"/>
    </row>
    <row r="146" spans="1:13">
      <c r="A146" s="479">
        <v>130</v>
      </c>
      <c r="B146" s="479">
        <v>160000</v>
      </c>
      <c r="C146" s="504">
        <v>2</v>
      </c>
      <c r="D146" s="479">
        <v>3</v>
      </c>
      <c r="E146" s="192">
        <v>193498</v>
      </c>
      <c r="F146" s="224">
        <f t="shared" si="17"/>
        <v>193498</v>
      </c>
      <c r="G146" s="224">
        <f t="shared" si="17"/>
        <v>193498</v>
      </c>
      <c r="H146" s="224">
        <f t="shared" si="17"/>
        <v>193498</v>
      </c>
      <c r="I146" s="224">
        <f t="shared" si="17"/>
        <v>193498</v>
      </c>
      <c r="J146" s="224">
        <f t="shared" si="17"/>
        <v>193498</v>
      </c>
      <c r="K146" s="224">
        <f t="shared" si="17"/>
        <v>230000</v>
      </c>
      <c r="L146" s="224">
        <f t="shared" si="17"/>
        <v>495500</v>
      </c>
      <c r="M146" s="495"/>
    </row>
    <row r="147" spans="1:13">
      <c r="A147" s="479">
        <v>131</v>
      </c>
      <c r="B147" s="479">
        <v>161000</v>
      </c>
      <c r="C147" s="504">
        <v>2</v>
      </c>
      <c r="D147" s="479">
        <v>4</v>
      </c>
      <c r="E147" s="192">
        <v>191294.5</v>
      </c>
      <c r="F147" s="224">
        <f t="shared" si="17"/>
        <v>191294.5</v>
      </c>
      <c r="G147" s="224">
        <f t="shared" si="17"/>
        <v>191294.5</v>
      </c>
      <c r="H147" s="224">
        <f t="shared" si="17"/>
        <v>191294.5</v>
      </c>
      <c r="I147" s="224">
        <f t="shared" si="17"/>
        <v>191294.5</v>
      </c>
      <c r="J147" s="224">
        <f t="shared" si="17"/>
        <v>191294.5</v>
      </c>
      <c r="K147" s="224">
        <f t="shared" si="17"/>
        <v>231600</v>
      </c>
      <c r="L147" s="224">
        <f t="shared" si="17"/>
        <v>499300</v>
      </c>
      <c r="M147" s="495"/>
    </row>
    <row r="148" spans="1:13">
      <c r="A148" s="479">
        <v>132</v>
      </c>
      <c r="B148" s="479">
        <v>162000</v>
      </c>
      <c r="C148" s="504">
        <v>2</v>
      </c>
      <c r="D148" s="479">
        <v>2</v>
      </c>
      <c r="E148" s="192">
        <v>199516</v>
      </c>
      <c r="F148" s="224">
        <f t="shared" si="17"/>
        <v>199516</v>
      </c>
      <c r="G148" s="224">
        <f t="shared" si="17"/>
        <v>199516</v>
      </c>
      <c r="H148" s="224">
        <f t="shared" si="17"/>
        <v>199516</v>
      </c>
      <c r="I148" s="224">
        <f t="shared" si="17"/>
        <v>199516</v>
      </c>
      <c r="J148" s="224">
        <f t="shared" si="17"/>
        <v>199516</v>
      </c>
      <c r="K148" s="224">
        <f t="shared" si="17"/>
        <v>233200</v>
      </c>
      <c r="L148" s="224">
        <f t="shared" si="17"/>
        <v>503100</v>
      </c>
      <c r="M148" s="495"/>
    </row>
    <row r="149" spans="1:13">
      <c r="A149" s="479">
        <v>133</v>
      </c>
      <c r="B149" s="479">
        <v>163000</v>
      </c>
      <c r="C149" s="504">
        <v>2</v>
      </c>
      <c r="D149" s="479">
        <v>3</v>
      </c>
      <c r="E149" s="192">
        <v>198682</v>
      </c>
      <c r="F149" s="224">
        <f t="shared" ref="F149:L158" si="18">IF(F$3+(F$5*10+($A149-10)*F$6)*$C149&lt;$E149,$E149,F$3+(F$5*10+($A149-10)*F$6)*$C149)</f>
        <v>198682</v>
      </c>
      <c r="G149" s="224">
        <f t="shared" si="18"/>
        <v>198682</v>
      </c>
      <c r="H149" s="224">
        <f t="shared" si="18"/>
        <v>198682</v>
      </c>
      <c r="I149" s="224">
        <f t="shared" si="18"/>
        <v>198682</v>
      </c>
      <c r="J149" s="224">
        <f t="shared" si="18"/>
        <v>198682</v>
      </c>
      <c r="K149" s="224">
        <f t="shared" si="18"/>
        <v>234800</v>
      </c>
      <c r="L149" s="224">
        <f t="shared" si="18"/>
        <v>506900</v>
      </c>
      <c r="M149" s="495"/>
    </row>
    <row r="150" spans="1:13">
      <c r="A150" s="479">
        <v>134</v>
      </c>
      <c r="B150" s="479">
        <v>164000</v>
      </c>
      <c r="C150" s="504">
        <v>2</v>
      </c>
      <c r="D150" s="479">
        <v>3</v>
      </c>
      <c r="E150" s="192">
        <v>204754</v>
      </c>
      <c r="F150" s="224">
        <f t="shared" si="18"/>
        <v>204754</v>
      </c>
      <c r="G150" s="224">
        <f t="shared" si="18"/>
        <v>204754</v>
      </c>
      <c r="H150" s="224">
        <f t="shared" si="18"/>
        <v>204754</v>
      </c>
      <c r="I150" s="224">
        <f t="shared" si="18"/>
        <v>204754</v>
      </c>
      <c r="J150" s="224">
        <f t="shared" si="18"/>
        <v>204754</v>
      </c>
      <c r="K150" s="224">
        <f t="shared" si="18"/>
        <v>236400</v>
      </c>
      <c r="L150" s="224">
        <f t="shared" si="18"/>
        <v>510700</v>
      </c>
      <c r="M150" s="495"/>
    </row>
    <row r="151" spans="1:13">
      <c r="A151" s="479">
        <v>135</v>
      </c>
      <c r="B151" s="479">
        <v>165000</v>
      </c>
      <c r="C151" s="504">
        <v>2</v>
      </c>
      <c r="D151" s="479">
        <v>3</v>
      </c>
      <c r="E151" s="192">
        <v>207400</v>
      </c>
      <c r="F151" s="224">
        <f t="shared" si="18"/>
        <v>207400</v>
      </c>
      <c r="G151" s="224">
        <f t="shared" si="18"/>
        <v>207400</v>
      </c>
      <c r="H151" s="224">
        <f t="shared" si="18"/>
        <v>207400</v>
      </c>
      <c r="I151" s="224">
        <f t="shared" si="18"/>
        <v>207400</v>
      </c>
      <c r="J151" s="224">
        <f t="shared" si="18"/>
        <v>207400</v>
      </c>
      <c r="K151" s="224">
        <f t="shared" si="18"/>
        <v>238000</v>
      </c>
      <c r="L151" s="224">
        <f t="shared" si="18"/>
        <v>514500</v>
      </c>
      <c r="M151" s="495"/>
    </row>
    <row r="152" spans="1:13">
      <c r="A152" s="479">
        <v>137</v>
      </c>
      <c r="B152" s="479">
        <v>167000</v>
      </c>
      <c r="C152" s="504">
        <v>2</v>
      </c>
      <c r="D152" s="479">
        <v>3</v>
      </c>
      <c r="E152" s="192">
        <v>212746</v>
      </c>
      <c r="F152" s="224">
        <f t="shared" si="18"/>
        <v>212746</v>
      </c>
      <c r="G152" s="224">
        <f t="shared" si="18"/>
        <v>212746</v>
      </c>
      <c r="H152" s="224">
        <f t="shared" si="18"/>
        <v>212746</v>
      </c>
      <c r="I152" s="224">
        <f t="shared" si="18"/>
        <v>212746</v>
      </c>
      <c r="J152" s="224">
        <f t="shared" si="18"/>
        <v>212746</v>
      </c>
      <c r="K152" s="224">
        <f t="shared" si="18"/>
        <v>241200</v>
      </c>
      <c r="L152" s="224">
        <f t="shared" si="18"/>
        <v>522100</v>
      </c>
      <c r="M152" s="495"/>
    </row>
    <row r="153" spans="1:13">
      <c r="A153" s="479">
        <v>138</v>
      </c>
      <c r="B153" s="479">
        <v>168000</v>
      </c>
      <c r="C153" s="504">
        <v>2</v>
      </c>
      <c r="D153" s="479">
        <v>2</v>
      </c>
      <c r="E153" s="192">
        <v>215446</v>
      </c>
      <c r="F153" s="224">
        <f t="shared" si="18"/>
        <v>215446</v>
      </c>
      <c r="G153" s="224">
        <f t="shared" si="18"/>
        <v>215446</v>
      </c>
      <c r="H153" s="224">
        <f t="shared" si="18"/>
        <v>215446</v>
      </c>
      <c r="I153" s="224">
        <f t="shared" si="18"/>
        <v>215446</v>
      </c>
      <c r="J153" s="224">
        <f t="shared" si="18"/>
        <v>215446</v>
      </c>
      <c r="K153" s="224">
        <f t="shared" si="18"/>
        <v>242800</v>
      </c>
      <c r="L153" s="224">
        <f t="shared" si="18"/>
        <v>525900</v>
      </c>
      <c r="M153" s="495"/>
    </row>
    <row r="154" spans="1:13">
      <c r="A154" s="479">
        <v>139</v>
      </c>
      <c r="B154" s="479">
        <v>169000</v>
      </c>
      <c r="C154" s="504">
        <v>2</v>
      </c>
      <c r="D154" s="479">
        <v>3</v>
      </c>
      <c r="E154" s="192">
        <v>218164</v>
      </c>
      <c r="F154" s="224">
        <f t="shared" si="18"/>
        <v>218164</v>
      </c>
      <c r="G154" s="224">
        <f t="shared" si="18"/>
        <v>218164</v>
      </c>
      <c r="H154" s="224">
        <f t="shared" si="18"/>
        <v>218164</v>
      </c>
      <c r="I154" s="224">
        <f t="shared" si="18"/>
        <v>218164</v>
      </c>
      <c r="J154" s="224">
        <f t="shared" si="18"/>
        <v>218164</v>
      </c>
      <c r="K154" s="224">
        <f t="shared" si="18"/>
        <v>244400</v>
      </c>
      <c r="L154" s="224">
        <f t="shared" si="18"/>
        <v>529700</v>
      </c>
      <c r="M154" s="495"/>
    </row>
    <row r="155" spans="1:13">
      <c r="A155" s="479">
        <v>141</v>
      </c>
      <c r="B155" s="479">
        <v>171000</v>
      </c>
      <c r="C155" s="504">
        <v>2</v>
      </c>
      <c r="D155" s="479">
        <v>4</v>
      </c>
      <c r="E155" s="192">
        <v>215054.5</v>
      </c>
      <c r="F155" s="224">
        <f t="shared" si="18"/>
        <v>215054.5</v>
      </c>
      <c r="G155" s="224">
        <f t="shared" si="18"/>
        <v>215054.5</v>
      </c>
      <c r="H155" s="224">
        <f t="shared" si="18"/>
        <v>215054.5</v>
      </c>
      <c r="I155" s="224">
        <f t="shared" si="18"/>
        <v>215054.5</v>
      </c>
      <c r="J155" s="224">
        <f t="shared" si="18"/>
        <v>215054.5</v>
      </c>
      <c r="K155" s="224">
        <f t="shared" si="18"/>
        <v>247600</v>
      </c>
      <c r="L155" s="224">
        <f t="shared" si="18"/>
        <v>537300</v>
      </c>
      <c r="M155" s="495"/>
    </row>
    <row r="156" spans="1:13">
      <c r="A156" s="479">
        <v>142</v>
      </c>
      <c r="B156" s="479">
        <v>172000</v>
      </c>
      <c r="C156" s="504">
        <v>2</v>
      </c>
      <c r="D156" s="479">
        <v>2</v>
      </c>
      <c r="E156" s="192">
        <v>226426</v>
      </c>
      <c r="F156" s="224">
        <f t="shared" si="18"/>
        <v>226426</v>
      </c>
      <c r="G156" s="224">
        <f t="shared" si="18"/>
        <v>226426</v>
      </c>
      <c r="H156" s="224">
        <f t="shared" si="18"/>
        <v>226426</v>
      </c>
      <c r="I156" s="224">
        <f t="shared" si="18"/>
        <v>226426</v>
      </c>
      <c r="J156" s="224">
        <f t="shared" si="18"/>
        <v>226426</v>
      </c>
      <c r="K156" s="224">
        <f t="shared" si="18"/>
        <v>249200</v>
      </c>
      <c r="L156" s="224">
        <f t="shared" si="18"/>
        <v>541100</v>
      </c>
      <c r="M156" s="495"/>
    </row>
    <row r="157" spans="1:13">
      <c r="A157" s="479">
        <v>143</v>
      </c>
      <c r="B157" s="479">
        <v>173000</v>
      </c>
      <c r="C157" s="504">
        <v>2</v>
      </c>
      <c r="D157" s="479">
        <v>1</v>
      </c>
      <c r="E157" s="192">
        <v>229216</v>
      </c>
      <c r="F157" s="224">
        <f t="shared" si="18"/>
        <v>229216</v>
      </c>
      <c r="G157" s="224">
        <f t="shared" si="18"/>
        <v>229216</v>
      </c>
      <c r="H157" s="224">
        <f t="shared" si="18"/>
        <v>229216</v>
      </c>
      <c r="I157" s="224">
        <f t="shared" si="18"/>
        <v>229216</v>
      </c>
      <c r="J157" s="224">
        <f t="shared" si="18"/>
        <v>229216</v>
      </c>
      <c r="K157" s="224">
        <f t="shared" si="18"/>
        <v>250800</v>
      </c>
      <c r="L157" s="224">
        <f t="shared" si="18"/>
        <v>544900</v>
      </c>
      <c r="M157" s="495"/>
    </row>
    <row r="158" spans="1:13">
      <c r="A158" s="479">
        <v>144</v>
      </c>
      <c r="B158" s="479">
        <v>174000</v>
      </c>
      <c r="C158" s="504">
        <v>2</v>
      </c>
      <c r="D158" s="479">
        <v>3</v>
      </c>
      <c r="E158" s="192">
        <v>218614</v>
      </c>
      <c r="F158" s="224">
        <f t="shared" si="18"/>
        <v>218614</v>
      </c>
      <c r="G158" s="224">
        <f t="shared" si="18"/>
        <v>218614</v>
      </c>
      <c r="H158" s="224">
        <f t="shared" si="18"/>
        <v>218614</v>
      </c>
      <c r="I158" s="224">
        <f t="shared" si="18"/>
        <v>218614</v>
      </c>
      <c r="J158" s="224">
        <f t="shared" si="18"/>
        <v>218614</v>
      </c>
      <c r="K158" s="224">
        <f t="shared" si="18"/>
        <v>252400</v>
      </c>
      <c r="L158" s="224">
        <f t="shared" si="18"/>
        <v>548700</v>
      </c>
      <c r="M158" s="495"/>
    </row>
    <row r="159" spans="1:13">
      <c r="A159" s="479">
        <v>145</v>
      </c>
      <c r="B159" s="479">
        <v>175000</v>
      </c>
      <c r="C159" s="504">
        <v>2</v>
      </c>
      <c r="D159" s="479">
        <v>1</v>
      </c>
      <c r="E159" s="192">
        <v>234850</v>
      </c>
      <c r="F159" s="224">
        <f t="shared" ref="F159:L168" si="19">IF(F$3+(F$5*10+($A159-10)*F$6)*$C159&lt;$E159,$E159,F$3+(F$5*10+($A159-10)*F$6)*$C159)</f>
        <v>234850</v>
      </c>
      <c r="G159" s="224">
        <f t="shared" si="19"/>
        <v>234850</v>
      </c>
      <c r="H159" s="224">
        <f t="shared" si="19"/>
        <v>234850</v>
      </c>
      <c r="I159" s="224">
        <f t="shared" si="19"/>
        <v>234850</v>
      </c>
      <c r="J159" s="224">
        <f t="shared" si="19"/>
        <v>234850</v>
      </c>
      <c r="K159" s="224">
        <f t="shared" si="19"/>
        <v>254000</v>
      </c>
      <c r="L159" s="224">
        <f t="shared" si="19"/>
        <v>552500</v>
      </c>
      <c r="M159" s="495"/>
    </row>
    <row r="160" spans="1:13">
      <c r="A160" s="479">
        <v>146</v>
      </c>
      <c r="B160" s="479">
        <v>176000</v>
      </c>
      <c r="C160" s="504">
        <v>2</v>
      </c>
      <c r="D160" s="479">
        <v>3</v>
      </c>
      <c r="E160" s="192">
        <v>237694</v>
      </c>
      <c r="F160" s="224">
        <f t="shared" si="19"/>
        <v>237694</v>
      </c>
      <c r="G160" s="224">
        <f t="shared" si="19"/>
        <v>237694</v>
      </c>
      <c r="H160" s="224">
        <f t="shared" si="19"/>
        <v>237694</v>
      </c>
      <c r="I160" s="224">
        <f t="shared" si="19"/>
        <v>237694</v>
      </c>
      <c r="J160" s="224">
        <f t="shared" si="19"/>
        <v>237694</v>
      </c>
      <c r="K160" s="224">
        <f t="shared" si="19"/>
        <v>255600</v>
      </c>
      <c r="L160" s="224">
        <f t="shared" si="19"/>
        <v>556300</v>
      </c>
      <c r="M160" s="495"/>
    </row>
    <row r="161" spans="1:13">
      <c r="A161" s="479">
        <v>147</v>
      </c>
      <c r="B161" s="479">
        <v>177000</v>
      </c>
      <c r="C161" s="504">
        <v>2</v>
      </c>
      <c r="D161" s="479">
        <v>1</v>
      </c>
      <c r="E161" s="192">
        <v>240556</v>
      </c>
      <c r="F161" s="224">
        <f t="shared" si="19"/>
        <v>240556</v>
      </c>
      <c r="G161" s="224">
        <f t="shared" si="19"/>
        <v>240556</v>
      </c>
      <c r="H161" s="224">
        <f t="shared" si="19"/>
        <v>240556</v>
      </c>
      <c r="I161" s="224">
        <f t="shared" si="19"/>
        <v>240556</v>
      </c>
      <c r="J161" s="224">
        <f t="shared" si="19"/>
        <v>240556</v>
      </c>
      <c r="K161" s="224">
        <f t="shared" si="19"/>
        <v>257200</v>
      </c>
      <c r="L161" s="224">
        <f t="shared" si="19"/>
        <v>560100</v>
      </c>
      <c r="M161" s="495"/>
    </row>
    <row r="162" spans="1:13">
      <c r="A162" s="479">
        <v>148</v>
      </c>
      <c r="B162" s="479">
        <v>178000</v>
      </c>
      <c r="C162" s="504">
        <v>2</v>
      </c>
      <c r="D162" s="479">
        <v>1</v>
      </c>
      <c r="E162" s="192">
        <v>243436</v>
      </c>
      <c r="F162" s="224">
        <f t="shared" si="19"/>
        <v>243436</v>
      </c>
      <c r="G162" s="224">
        <f t="shared" si="19"/>
        <v>243436</v>
      </c>
      <c r="H162" s="224">
        <f t="shared" si="19"/>
        <v>243436</v>
      </c>
      <c r="I162" s="224">
        <f t="shared" si="19"/>
        <v>243436</v>
      </c>
      <c r="J162" s="224">
        <f t="shared" si="19"/>
        <v>243436</v>
      </c>
      <c r="K162" s="224">
        <f t="shared" si="19"/>
        <v>258800</v>
      </c>
      <c r="L162" s="224">
        <f t="shared" si="19"/>
        <v>563900</v>
      </c>
      <c r="M162" s="495"/>
    </row>
    <row r="163" spans="1:13">
      <c r="A163" s="479">
        <v>150</v>
      </c>
      <c r="B163" s="479">
        <v>180000</v>
      </c>
      <c r="C163" s="504">
        <v>2</v>
      </c>
      <c r="D163" s="479">
        <v>4</v>
      </c>
      <c r="E163" s="192">
        <v>249250</v>
      </c>
      <c r="F163" s="224">
        <f t="shared" si="19"/>
        <v>249250</v>
      </c>
      <c r="G163" s="224">
        <f t="shared" si="19"/>
        <v>249250</v>
      </c>
      <c r="H163" s="224">
        <f t="shared" si="19"/>
        <v>249250</v>
      </c>
      <c r="I163" s="224">
        <f t="shared" si="19"/>
        <v>249250</v>
      </c>
      <c r="J163" s="224">
        <f t="shared" si="19"/>
        <v>249250</v>
      </c>
      <c r="K163" s="224">
        <f t="shared" si="19"/>
        <v>262000</v>
      </c>
      <c r="L163" s="224">
        <f t="shared" si="19"/>
        <v>571500</v>
      </c>
      <c r="M163" s="495"/>
    </row>
    <row r="164" spans="1:13">
      <c r="A164" s="479">
        <v>152</v>
      </c>
      <c r="B164" s="479">
        <v>182000</v>
      </c>
      <c r="C164" s="504">
        <v>2</v>
      </c>
      <c r="D164" s="479">
        <v>2</v>
      </c>
      <c r="E164" s="192">
        <v>255136</v>
      </c>
      <c r="F164" s="224">
        <f t="shared" si="19"/>
        <v>255136</v>
      </c>
      <c r="G164" s="224">
        <f t="shared" si="19"/>
        <v>255136</v>
      </c>
      <c r="H164" s="224">
        <f t="shared" si="19"/>
        <v>255136</v>
      </c>
      <c r="I164" s="224">
        <f t="shared" si="19"/>
        <v>255136</v>
      </c>
      <c r="J164" s="224">
        <f t="shared" si="19"/>
        <v>255136</v>
      </c>
      <c r="K164" s="224">
        <f t="shared" si="19"/>
        <v>265200</v>
      </c>
      <c r="L164" s="224">
        <f t="shared" si="19"/>
        <v>579100</v>
      </c>
      <c r="M164" s="495"/>
    </row>
    <row r="165" spans="1:13">
      <c r="A165" s="479">
        <v>153</v>
      </c>
      <c r="B165" s="479">
        <v>183000</v>
      </c>
      <c r="C165" s="504">
        <v>2</v>
      </c>
      <c r="D165" s="479">
        <v>3</v>
      </c>
      <c r="E165" s="192">
        <v>258106</v>
      </c>
      <c r="F165" s="224">
        <f t="shared" si="19"/>
        <v>258106</v>
      </c>
      <c r="G165" s="224">
        <f t="shared" si="19"/>
        <v>258106</v>
      </c>
      <c r="H165" s="224">
        <f t="shared" si="19"/>
        <v>258106</v>
      </c>
      <c r="I165" s="224">
        <f t="shared" si="19"/>
        <v>258106</v>
      </c>
      <c r="J165" s="224">
        <f t="shared" si="19"/>
        <v>258106</v>
      </c>
      <c r="K165" s="224">
        <f t="shared" si="19"/>
        <v>266800</v>
      </c>
      <c r="L165" s="224">
        <f t="shared" si="19"/>
        <v>582900</v>
      </c>
      <c r="M165" s="495"/>
    </row>
    <row r="166" spans="1:13">
      <c r="A166" s="479">
        <v>155</v>
      </c>
      <c r="B166" s="479">
        <v>185000</v>
      </c>
      <c r="C166" s="504">
        <v>2</v>
      </c>
      <c r="D166" s="479">
        <v>2</v>
      </c>
      <c r="E166" s="192">
        <v>264100</v>
      </c>
      <c r="F166" s="224">
        <f t="shared" si="19"/>
        <v>264100</v>
      </c>
      <c r="G166" s="224">
        <f t="shared" si="19"/>
        <v>264100</v>
      </c>
      <c r="H166" s="224">
        <f t="shared" si="19"/>
        <v>264100</v>
      </c>
      <c r="I166" s="224">
        <f t="shared" si="19"/>
        <v>264100</v>
      </c>
      <c r="J166" s="224">
        <f t="shared" si="19"/>
        <v>264100</v>
      </c>
      <c r="K166" s="224">
        <f t="shared" si="19"/>
        <v>270000</v>
      </c>
      <c r="L166" s="224">
        <f t="shared" si="19"/>
        <v>590500</v>
      </c>
      <c r="M166" s="495"/>
    </row>
    <row r="167" spans="1:13">
      <c r="A167" s="479">
        <v>156</v>
      </c>
      <c r="B167" s="479">
        <v>186000</v>
      </c>
      <c r="C167" s="504">
        <v>2</v>
      </c>
      <c r="D167" s="479">
        <v>1</v>
      </c>
      <c r="E167" s="192">
        <v>267124</v>
      </c>
      <c r="F167" s="224">
        <f t="shared" si="19"/>
        <v>267124</v>
      </c>
      <c r="G167" s="224">
        <f t="shared" si="19"/>
        <v>267124</v>
      </c>
      <c r="H167" s="224">
        <f t="shared" si="19"/>
        <v>267124</v>
      </c>
      <c r="I167" s="224">
        <f t="shared" si="19"/>
        <v>267124</v>
      </c>
      <c r="J167" s="224">
        <f t="shared" si="19"/>
        <v>267124</v>
      </c>
      <c r="K167" s="224">
        <f t="shared" si="19"/>
        <v>271600</v>
      </c>
      <c r="L167" s="224">
        <f t="shared" si="19"/>
        <v>594300</v>
      </c>
      <c r="M167" s="495"/>
    </row>
    <row r="168" spans="1:13">
      <c r="A168" s="479">
        <v>157</v>
      </c>
      <c r="B168" s="479">
        <v>187000</v>
      </c>
      <c r="C168" s="504">
        <v>2</v>
      </c>
      <c r="D168" s="479">
        <v>1</v>
      </c>
      <c r="E168" s="192">
        <v>270166</v>
      </c>
      <c r="F168" s="224">
        <f t="shared" si="19"/>
        <v>270166</v>
      </c>
      <c r="G168" s="224">
        <f t="shared" si="19"/>
        <v>270166</v>
      </c>
      <c r="H168" s="224">
        <f t="shared" si="19"/>
        <v>270166</v>
      </c>
      <c r="I168" s="224">
        <f t="shared" si="19"/>
        <v>270166</v>
      </c>
      <c r="J168" s="224">
        <f t="shared" si="19"/>
        <v>270166</v>
      </c>
      <c r="K168" s="224">
        <f t="shared" si="19"/>
        <v>273200</v>
      </c>
      <c r="L168" s="224">
        <f t="shared" si="19"/>
        <v>598100</v>
      </c>
      <c r="M168" s="495"/>
    </row>
    <row r="169" spans="1:13">
      <c r="A169" s="479">
        <v>158</v>
      </c>
      <c r="B169" s="479">
        <v>188000</v>
      </c>
      <c r="C169" s="504">
        <v>2</v>
      </c>
      <c r="D169" s="479">
        <v>2</v>
      </c>
      <c r="E169" s="192">
        <v>273226</v>
      </c>
      <c r="F169" s="224">
        <f t="shared" ref="F169:L174" si="20">IF(F$3+(F$5*10+($A169-10)*F$6)*$C169&lt;$E169,$E169,F$3+(F$5*10+($A169-10)*F$6)*$C169)</f>
        <v>273226</v>
      </c>
      <c r="G169" s="224">
        <f t="shared" si="20"/>
        <v>273226</v>
      </c>
      <c r="H169" s="224">
        <f t="shared" si="20"/>
        <v>273226</v>
      </c>
      <c r="I169" s="224">
        <f t="shared" si="20"/>
        <v>273226</v>
      </c>
      <c r="J169" s="224">
        <f t="shared" si="20"/>
        <v>273226</v>
      </c>
      <c r="K169" s="224">
        <f t="shared" si="20"/>
        <v>274800</v>
      </c>
      <c r="L169" s="224">
        <f t="shared" si="20"/>
        <v>601900</v>
      </c>
      <c r="M169" s="495"/>
    </row>
    <row r="170" spans="1:13">
      <c r="A170" s="479">
        <v>159</v>
      </c>
      <c r="B170" s="479">
        <v>189000</v>
      </c>
      <c r="C170" s="504">
        <v>2</v>
      </c>
      <c r="D170" s="479">
        <v>1</v>
      </c>
      <c r="E170" s="192">
        <v>276304</v>
      </c>
      <c r="F170" s="224">
        <f t="shared" si="20"/>
        <v>276304</v>
      </c>
      <c r="G170" s="224">
        <f t="shared" si="20"/>
        <v>276304</v>
      </c>
      <c r="H170" s="224">
        <f t="shared" si="20"/>
        <v>276304</v>
      </c>
      <c r="I170" s="224">
        <f t="shared" si="20"/>
        <v>276304</v>
      </c>
      <c r="J170" s="224">
        <f t="shared" si="20"/>
        <v>276304</v>
      </c>
      <c r="K170" s="224">
        <f t="shared" si="20"/>
        <v>276400</v>
      </c>
      <c r="L170" s="224">
        <f t="shared" si="20"/>
        <v>605700</v>
      </c>
      <c r="M170" s="495"/>
    </row>
    <row r="171" spans="1:13">
      <c r="A171" s="479">
        <v>160</v>
      </c>
      <c r="B171" s="479">
        <v>190000</v>
      </c>
      <c r="C171" s="504">
        <v>2</v>
      </c>
      <c r="D171" s="479">
        <v>1</v>
      </c>
      <c r="E171" s="192">
        <v>279400</v>
      </c>
      <c r="F171" s="224">
        <f t="shared" si="20"/>
        <v>279400</v>
      </c>
      <c r="G171" s="224">
        <f t="shared" si="20"/>
        <v>279400</v>
      </c>
      <c r="H171" s="224">
        <f t="shared" si="20"/>
        <v>279400</v>
      </c>
      <c r="I171" s="224">
        <f t="shared" si="20"/>
        <v>279400</v>
      </c>
      <c r="J171" s="224">
        <f t="shared" si="20"/>
        <v>279400</v>
      </c>
      <c r="K171" s="224">
        <f t="shared" si="20"/>
        <v>279400</v>
      </c>
      <c r="L171" s="224">
        <f t="shared" si="20"/>
        <v>609500</v>
      </c>
      <c r="M171" s="495"/>
    </row>
    <row r="172" spans="1:13">
      <c r="A172" s="479">
        <v>167</v>
      </c>
      <c r="B172" s="479">
        <v>197000</v>
      </c>
      <c r="C172" s="504">
        <v>2</v>
      </c>
      <c r="D172" s="479">
        <v>2</v>
      </c>
      <c r="E172" s="192">
        <v>301576</v>
      </c>
      <c r="F172" s="224">
        <f t="shared" si="20"/>
        <v>301576</v>
      </c>
      <c r="G172" s="224">
        <f t="shared" si="20"/>
        <v>301576</v>
      </c>
      <c r="H172" s="224">
        <f t="shared" si="20"/>
        <v>301576</v>
      </c>
      <c r="I172" s="224">
        <f t="shared" si="20"/>
        <v>301576</v>
      </c>
      <c r="J172" s="224">
        <f t="shared" si="20"/>
        <v>301576</v>
      </c>
      <c r="K172" s="224">
        <f t="shared" si="20"/>
        <v>301576</v>
      </c>
      <c r="L172" s="224">
        <f t="shared" si="20"/>
        <v>636100</v>
      </c>
      <c r="M172" s="495"/>
    </row>
    <row r="173" spans="1:13">
      <c r="A173" s="479">
        <v>168</v>
      </c>
      <c r="B173" s="479">
        <v>198000</v>
      </c>
      <c r="C173" s="504">
        <v>2</v>
      </c>
      <c r="D173" s="479">
        <v>1</v>
      </c>
      <c r="E173" s="192">
        <v>198000</v>
      </c>
      <c r="F173" s="224">
        <f t="shared" si="20"/>
        <v>198000</v>
      </c>
      <c r="G173" s="224">
        <f t="shared" si="20"/>
        <v>201900</v>
      </c>
      <c r="H173" s="224">
        <f t="shared" si="20"/>
        <v>198000</v>
      </c>
      <c r="I173" s="224">
        <f t="shared" si="20"/>
        <v>210800</v>
      </c>
      <c r="J173" s="224">
        <f t="shared" si="20"/>
        <v>234500</v>
      </c>
      <c r="K173" s="224">
        <f t="shared" si="20"/>
        <v>290800</v>
      </c>
      <c r="L173" s="224">
        <f t="shared" si="20"/>
        <v>639900</v>
      </c>
      <c r="M173" s="495"/>
    </row>
    <row r="174" spans="1:13">
      <c r="A174" s="479">
        <v>170</v>
      </c>
      <c r="B174" s="479">
        <v>200000</v>
      </c>
      <c r="C174" s="504">
        <v>2</v>
      </c>
      <c r="D174" s="479">
        <v>1</v>
      </c>
      <c r="E174" s="192">
        <v>311350</v>
      </c>
      <c r="F174" s="224">
        <f t="shared" si="20"/>
        <v>311350</v>
      </c>
      <c r="G174" s="224">
        <f t="shared" si="20"/>
        <v>311350</v>
      </c>
      <c r="H174" s="224">
        <f t="shared" si="20"/>
        <v>311350</v>
      </c>
      <c r="I174" s="224">
        <f t="shared" si="20"/>
        <v>311350</v>
      </c>
      <c r="J174" s="224">
        <f t="shared" si="20"/>
        <v>311350</v>
      </c>
      <c r="K174" s="224">
        <f t="shared" si="20"/>
        <v>311350</v>
      </c>
      <c r="L174" s="224">
        <f t="shared" si="20"/>
        <v>647500</v>
      </c>
      <c r="M174" s="495"/>
    </row>
    <row r="175" spans="1:13">
      <c r="A175" s="31"/>
      <c r="B175" s="36"/>
      <c r="C175" s="31"/>
      <c r="D175" s="36">
        <f>SUM(D27:D174)</f>
        <v>355131</v>
      </c>
      <c r="E175" s="36">
        <v>44361.374723335917</v>
      </c>
      <c r="F175" s="237">
        <f>+SUMPRODUCT(F27:F174,$D$27:$D$174)/$D$175*F24</f>
        <v>46831.371693178007</v>
      </c>
      <c r="G175" s="237">
        <f>+SUMPRODUCT(G27:G174,$D$27:$D$174)/$D$175*G24</f>
        <v>51076.288456458598</v>
      </c>
      <c r="H175" s="237">
        <f>+SUMPRODUCT(H27:H174,$D$27:$D$174)/$D$175</f>
        <v>50140.079450484467</v>
      </c>
      <c r="I175" s="237">
        <f>+SUMPRODUCT(I27:I174,$D$27:$D$174)/$D$175*I24</f>
        <v>52786.752548664437</v>
      </c>
      <c r="J175" s="237">
        <f>+SUMPRODUCT(J27:J174,$D$27:$D$174)/$D$175</f>
        <v>54634.310913437577</v>
      </c>
      <c r="K175" s="237">
        <f>+SUMPRODUCT(K27:K174,$D$27:$D$174)/$D$175</f>
        <v>60566.01481143578</v>
      </c>
      <c r="L175" s="237">
        <f>+SUMPRODUCT(L27:L174,$D$27:$D$174)/$D$175</f>
        <v>93093.994250009157</v>
      </c>
    </row>
    <row r="176" spans="1:13">
      <c r="A176" s="35" t="s">
        <v>195</v>
      </c>
      <c r="D176" s="35">
        <v>351232</v>
      </c>
      <c r="E176" s="23"/>
      <c r="F176" s="498">
        <f>+F7/($D$175*F24)/6*1000000</f>
        <v>46.831371693178006</v>
      </c>
      <c r="G176" s="498">
        <f>+G7/($D$175*G24)/6*1000000</f>
        <v>50.82217756861553</v>
      </c>
      <c r="H176" s="498">
        <f t="shared" ref="H176:K176" si="21">+H7/($D$175*H24)/6*1000000</f>
        <v>50.14007945048445</v>
      </c>
      <c r="I176" s="498">
        <f t="shared" si="21"/>
        <v>52.524131889218346</v>
      </c>
      <c r="J176" s="498">
        <f t="shared" si="21"/>
        <v>54.634310913437574</v>
      </c>
      <c r="K176" s="498">
        <f t="shared" si="21"/>
        <v>60.566014811435785</v>
      </c>
      <c r="L176" s="498">
        <f>+L7/($D$175*L24)/12*1000000</f>
        <v>93.093994250009146</v>
      </c>
    </row>
    <row r="177" spans="1:8">
      <c r="A177" s="35"/>
      <c r="C177" s="35"/>
      <c r="D177" s="481">
        <f>+D175/D176-1</f>
        <v>1.1100924744897878E-2</v>
      </c>
      <c r="E177" s="35"/>
    </row>
    <row r="178" spans="1:8">
      <c r="E178" s="23"/>
    </row>
    <row r="179" spans="1:8">
      <c r="E179" s="23"/>
      <c r="H179" s="496"/>
    </row>
  </sheetData>
  <mergeCells count="1">
    <mergeCell ref="D25:E25"/>
  </mergeCells>
  <conditionalFormatting sqref="O19:O23">
    <cfRule type="colorScale" priority="30">
      <colorScale>
        <cfvo type="min"/>
        <cfvo type="max"/>
        <color rgb="FFFFEF9C"/>
        <color rgb="FF63BE7B"/>
      </colorScale>
    </cfRule>
  </conditionalFormatting>
  <conditionalFormatting sqref="O19:O23">
    <cfRule type="colorScale" priority="28">
      <colorScale>
        <cfvo type="min"/>
        <cfvo type="max"/>
        <color rgb="FFFFEF9C"/>
        <color rgb="FF63BE7B"/>
      </colorScale>
    </cfRule>
  </conditionalFormatting>
  <conditionalFormatting sqref="J19:K23">
    <cfRule type="colorScale" priority="19">
      <colorScale>
        <cfvo type="min"/>
        <cfvo type="percentile" val="50"/>
        <cfvo type="max"/>
        <color rgb="FFF8696B"/>
        <color rgb="FFFFEB84"/>
        <color rgb="FF63BE7B"/>
      </colorScale>
    </cfRule>
  </conditionalFormatting>
  <conditionalFormatting sqref="J10:K13">
    <cfRule type="colorScale" priority="14">
      <colorScale>
        <cfvo type="min"/>
        <cfvo type="percentile" val="50"/>
        <cfvo type="max"/>
        <color rgb="FFF8696B"/>
        <color rgb="FFFFEB84"/>
        <color rgb="FF63BE7B"/>
      </colorScale>
    </cfRule>
  </conditionalFormatting>
  <conditionalFormatting sqref="L19:M23">
    <cfRule type="colorScale" priority="9">
      <colorScale>
        <cfvo type="min"/>
        <cfvo type="percentile" val="50"/>
        <cfvo type="max"/>
        <color rgb="FFF8696B"/>
        <color rgb="FFFFEB84"/>
        <color rgb="FF63BE7B"/>
      </colorScale>
    </cfRule>
  </conditionalFormatting>
  <conditionalFormatting sqref="L10:M13">
    <cfRule type="colorScale" priority="8">
      <colorScale>
        <cfvo type="min"/>
        <cfvo type="percentile" val="50"/>
        <cfvo type="max"/>
        <color rgb="FFF8696B"/>
        <color rgb="FFFFEB84"/>
        <color rgb="FF63BE7B"/>
      </colorScale>
    </cfRule>
  </conditionalFormatting>
  <conditionalFormatting sqref="N19:N23">
    <cfRule type="colorScale" priority="7">
      <colorScale>
        <cfvo type="min"/>
        <cfvo type="percentile" val="50"/>
        <cfvo type="max"/>
        <color rgb="FFF8696B"/>
        <color rgb="FFFFEB84"/>
        <color rgb="FF63BE7B"/>
      </colorScale>
    </cfRule>
  </conditionalFormatting>
  <conditionalFormatting sqref="N10:N13">
    <cfRule type="colorScale" priority="6">
      <colorScale>
        <cfvo type="min"/>
        <cfvo type="percentile" val="50"/>
        <cfvo type="max"/>
        <color rgb="FFF8696B"/>
        <color rgb="FFFFEB84"/>
        <color rgb="FF63BE7B"/>
      </colorScale>
    </cfRule>
  </conditionalFormatting>
  <conditionalFormatting sqref="J14:K15">
    <cfRule type="colorScale" priority="3">
      <colorScale>
        <cfvo type="min"/>
        <cfvo type="percentile" val="50"/>
        <cfvo type="max"/>
        <color rgb="FFF8696B"/>
        <color rgb="FFFFEB84"/>
        <color rgb="FF63BE7B"/>
      </colorScale>
    </cfRule>
  </conditionalFormatting>
  <conditionalFormatting sqref="L14:M15">
    <cfRule type="colorScale" priority="2">
      <colorScale>
        <cfvo type="min"/>
        <cfvo type="percentile" val="50"/>
        <cfvo type="max"/>
        <color rgb="FFF8696B"/>
        <color rgb="FFFFEB84"/>
        <color rgb="FF63BE7B"/>
      </colorScale>
    </cfRule>
  </conditionalFormatting>
  <conditionalFormatting sqref="N14:N15">
    <cfRule type="colorScale" priority="1">
      <colorScale>
        <cfvo type="min"/>
        <cfvo type="percentile" val="50"/>
        <cfvo type="max"/>
        <color rgb="FFF8696B"/>
        <color rgb="FFFFEB84"/>
        <color rgb="FF63BE7B"/>
      </colorScale>
    </cfRule>
  </conditionalFormatting>
  <pageMargins left="0" right="0" top="0" bottom="0" header="0.31496062992125984" footer="0.31496062992125984"/>
  <pageSetup paperSize="9" scale="98" orientation="landscape" r:id="rId1"/>
  <ignoredErrors>
    <ignoredError sqref="G11:G13 G20:G22 G23" formulaRange="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5"/>
  <sheetViews>
    <sheetView zoomScaleNormal="100" workbookViewId="0">
      <selection activeCell="J8" sqref="J8"/>
    </sheetView>
  </sheetViews>
  <sheetFormatPr defaultColWidth="8.85546875" defaultRowHeight="17.25" outlineLevelRow="1"/>
  <cols>
    <col min="1" max="1" width="7.42578125" style="23" customWidth="1"/>
    <col min="2" max="2" width="9.140625" style="47" customWidth="1"/>
    <col min="3" max="3" width="15.28515625" style="23" bestFit="1" customWidth="1"/>
    <col min="4" max="4" width="16.140625" style="24" bestFit="1" customWidth="1"/>
    <col min="5" max="5" width="18.7109375" style="23" bestFit="1" customWidth="1"/>
    <col min="6" max="6" width="18.7109375" style="23" customWidth="1"/>
    <col min="7" max="7" width="16.140625" style="23" bestFit="1" customWidth="1"/>
    <col min="8" max="8" width="16.140625" style="23" customWidth="1"/>
    <col min="9" max="9" width="15.42578125" style="23" bestFit="1" customWidth="1"/>
    <col min="10" max="10" width="15.42578125" style="23" customWidth="1"/>
    <col min="11" max="11" width="15.85546875" style="23" bestFit="1" customWidth="1"/>
    <col min="12" max="12" width="14" style="23" customWidth="1"/>
    <col min="13" max="16384" width="8.85546875" style="23"/>
  </cols>
  <sheetData>
    <row r="1" spans="1:11">
      <c r="A1" s="23" t="s">
        <v>36</v>
      </c>
      <c r="E1" s="363">
        <f>+ընդհանուր!F6</f>
        <v>6</v>
      </c>
      <c r="F1" s="363">
        <f>+ընդհանուր!G6</f>
        <v>6</v>
      </c>
      <c r="G1" s="363">
        <f>+ընդհանուր!H6</f>
        <v>6</v>
      </c>
      <c r="H1" s="363">
        <f>+ընդհանուր!I6</f>
        <v>6</v>
      </c>
      <c r="I1" s="363">
        <f>+ընդհանուր!J6</f>
        <v>6</v>
      </c>
      <c r="J1" s="363">
        <f>+ընդհանուր!K6</f>
        <v>6</v>
      </c>
    </row>
    <row r="2" spans="1:11" ht="34.5">
      <c r="C2" s="26"/>
      <c r="D2" s="26"/>
      <c r="E2" s="354" t="s">
        <v>217</v>
      </c>
      <c r="F2" s="354" t="s">
        <v>218</v>
      </c>
      <c r="G2" s="354" t="s">
        <v>219</v>
      </c>
      <c r="H2" s="354" t="s">
        <v>220</v>
      </c>
      <c r="I2" s="354" t="s">
        <v>221</v>
      </c>
      <c r="J2" s="354" t="s">
        <v>222</v>
      </c>
      <c r="K2" s="223">
        <v>2026</v>
      </c>
    </row>
    <row r="3" spans="1:11">
      <c r="C3" s="26" t="s">
        <v>22</v>
      </c>
      <c r="D3" s="26"/>
      <c r="E3" s="41">
        <f>+ընդհանուր!E10</f>
        <v>21000</v>
      </c>
      <c r="F3" s="41">
        <f>+ընդհանուր!F10</f>
        <v>36000</v>
      </c>
      <c r="G3" s="41">
        <f>+ընդհանուր!G10</f>
        <v>36000</v>
      </c>
      <c r="H3" s="41">
        <f>+ընդհանուր!H10</f>
        <v>37000</v>
      </c>
      <c r="I3" s="41">
        <f>+ընդհանուր!I10</f>
        <v>37000</v>
      </c>
      <c r="J3" s="41">
        <f>+ընդհանուր!J10</f>
        <v>38000</v>
      </c>
      <c r="K3" s="41">
        <f>+ընդհանուր!K10</f>
        <v>39500</v>
      </c>
    </row>
    <row r="4" spans="1:11">
      <c r="C4" s="26" t="s">
        <v>23</v>
      </c>
      <c r="D4" s="26"/>
      <c r="E4" s="41">
        <f>+ընդհանուր!E11</f>
        <v>31600</v>
      </c>
      <c r="F4" s="41">
        <f>+ընդհանուր!F11</f>
        <v>0</v>
      </c>
      <c r="G4" s="41">
        <f>+ընդհանուր!G11</f>
        <v>0</v>
      </c>
      <c r="H4" s="41">
        <f>+ընդհանուր!H11</f>
        <v>0</v>
      </c>
      <c r="I4" s="41">
        <f>+ընդհանուր!I11</f>
        <v>0</v>
      </c>
      <c r="J4" s="41">
        <f>+ընդհանուր!J11</f>
        <v>0</v>
      </c>
      <c r="K4" s="41">
        <f>+ընդհանուր!K11</f>
        <v>0</v>
      </c>
    </row>
    <row r="5" spans="1:11">
      <c r="C5" s="26" t="s">
        <v>24</v>
      </c>
      <c r="D5" s="26"/>
      <c r="E5" s="41">
        <f>+ընդհանուր!E16</f>
        <v>950</v>
      </c>
      <c r="F5" s="41">
        <f>+ընդհանուր!F16</f>
        <v>0</v>
      </c>
      <c r="G5" s="41">
        <f>+ընդհանուր!G16</f>
        <v>0</v>
      </c>
      <c r="H5" s="41">
        <f>+ընդհանուր!H16</f>
        <v>0</v>
      </c>
      <c r="I5" s="41">
        <f>+ընդհանուր!I16</f>
        <v>0</v>
      </c>
      <c r="J5" s="41">
        <f>+ընդհանուր!J16</f>
        <v>0</v>
      </c>
      <c r="K5" s="41">
        <f>+ընդհանուր!K16</f>
        <v>0</v>
      </c>
    </row>
    <row r="6" spans="1:11">
      <c r="C6" s="26" t="s">
        <v>25</v>
      </c>
      <c r="D6" s="26"/>
      <c r="E6" s="41">
        <f>+ընդհանուր!E17</f>
        <v>500</v>
      </c>
      <c r="F6" s="41">
        <f>+ընդհանուր!F17</f>
        <v>525</v>
      </c>
      <c r="G6" s="41">
        <f>+ընդհանուր!G17</f>
        <v>500</v>
      </c>
      <c r="H6" s="41">
        <f>+ընդհանուր!H17</f>
        <v>550</v>
      </c>
      <c r="I6" s="41">
        <f>+ընդհանուր!I17</f>
        <v>625</v>
      </c>
      <c r="J6" s="41">
        <f>+ընդհանուր!J17</f>
        <v>800</v>
      </c>
      <c r="K6" s="41">
        <f>+ընդհանուր!K17</f>
        <v>1900</v>
      </c>
    </row>
    <row r="7" spans="1:11">
      <c r="C7" s="26" t="s">
        <v>37</v>
      </c>
      <c r="D7" s="26"/>
      <c r="E7" s="41">
        <f>+E3*0.4</f>
        <v>8400</v>
      </c>
      <c r="F7" s="41">
        <f>+F3*0.2</f>
        <v>7200</v>
      </c>
      <c r="G7" s="41">
        <f>+G3*0.2</f>
        <v>7200</v>
      </c>
      <c r="H7" s="41">
        <f t="shared" ref="H7:K7" si="0">+H3*0.2</f>
        <v>7400</v>
      </c>
      <c r="I7" s="41">
        <f t="shared" si="0"/>
        <v>7400</v>
      </c>
      <c r="J7" s="41">
        <f t="shared" si="0"/>
        <v>7600</v>
      </c>
      <c r="K7" s="41">
        <f t="shared" si="0"/>
        <v>7900</v>
      </c>
    </row>
    <row r="8" spans="1:11">
      <c r="C8" s="25" t="s">
        <v>39</v>
      </c>
      <c r="D8" s="23"/>
      <c r="E8" s="614">
        <f>SUMPRODUCT($C31:$C101,E31:E101)*E1/1000000000</f>
        <v>1.2922531559999999</v>
      </c>
      <c r="F8" s="614">
        <f>SUMPRODUCT($C31:$C101,F31:F101)*F1/1000000000</f>
        <v>1.3727961420000001</v>
      </c>
      <c r="G8" s="614">
        <f t="shared" ref="G8:J8" si="1">SUMPRODUCT($C31:$C101,G31:G101)*G1/1000000000</f>
        <v>1.360422456</v>
      </c>
      <c r="H8" s="614">
        <f t="shared" si="1"/>
        <v>1.4160626279999999</v>
      </c>
      <c r="I8" s="614">
        <f t="shared" si="1"/>
        <v>1.4532703499999999</v>
      </c>
      <c r="J8" s="614">
        <f t="shared" si="1"/>
        <v>1.571209152</v>
      </c>
      <c r="K8" s="614">
        <f>SUMPRODUCT($C31:$C101,K31:K101)*12/1000000000</f>
        <v>4.3295730719999996</v>
      </c>
    </row>
    <row r="9" spans="1:11">
      <c r="C9" s="25" t="s">
        <v>40</v>
      </c>
      <c r="D9" s="23"/>
    </row>
    <row r="10" spans="1:11">
      <c r="I10" s="37"/>
      <c r="J10" s="37"/>
      <c r="K10" s="37"/>
    </row>
    <row r="11" spans="1:11" ht="17.25" hidden="1" customHeight="1" outlineLevel="1">
      <c r="D11" s="23"/>
      <c r="E11" s="195"/>
      <c r="F11" s="195"/>
      <c r="G11" s="195"/>
      <c r="H11" s="195"/>
      <c r="I11" s="195"/>
      <c r="J11" s="195"/>
      <c r="K11" s="195"/>
    </row>
    <row r="12" spans="1:11" hidden="1" outlineLevel="1">
      <c r="D12" s="201" t="s">
        <v>178</v>
      </c>
      <c r="E12" s="200" t="s">
        <v>189</v>
      </c>
      <c r="F12" s="200"/>
      <c r="G12" s="229" t="s">
        <v>181</v>
      </c>
      <c r="H12" s="229"/>
      <c r="I12" s="229" t="s">
        <v>181</v>
      </c>
      <c r="J12" s="229"/>
      <c r="K12" s="229" t="s">
        <v>181</v>
      </c>
    </row>
    <row r="13" spans="1:11" hidden="1" outlineLevel="1">
      <c r="D13" s="202" t="s">
        <v>180</v>
      </c>
      <c r="E13" s="203">
        <f>SUMPRODUCT($C31:$C101,E31:E101)/SUM($C31:$C101)</f>
        <v>50215.790627185823</v>
      </c>
      <c r="F13" s="203"/>
      <c r="G13" s="214" t="e">
        <f>+#REF!/#REF!-1</f>
        <v>#REF!</v>
      </c>
      <c r="H13" s="214"/>
      <c r="I13" s="214" t="e">
        <f>+#REF!/#REF!-1</f>
        <v>#REF!</v>
      </c>
      <c r="J13" s="214"/>
      <c r="K13" s="214" t="e">
        <f>+E13/#REF!-1</f>
        <v>#REF!</v>
      </c>
    </row>
    <row r="14" spans="1:11" hidden="1" outlineLevel="1">
      <c r="D14" s="197" t="s">
        <v>170</v>
      </c>
      <c r="E14" s="206">
        <f>SUMPRODUCT($C31:$C41,E31:E41)/SUM($C31:$C41)</f>
        <v>40000</v>
      </c>
      <c r="F14" s="206"/>
      <c r="G14" s="225" t="e">
        <f>+#REF!/#REF!-1</f>
        <v>#REF!</v>
      </c>
      <c r="H14" s="225"/>
      <c r="I14" s="225" t="e">
        <f>+#REF!/#REF!-1</f>
        <v>#REF!</v>
      </c>
      <c r="J14" s="225"/>
      <c r="K14" s="225" t="e">
        <f>+E14/#REF!-1</f>
        <v>#REF!</v>
      </c>
    </row>
    <row r="15" spans="1:11" hidden="1" outlineLevel="1">
      <c r="D15" s="197" t="s">
        <v>171</v>
      </c>
      <c r="E15" s="206">
        <f>SUMPRODUCT($C31:$C51,E31:E51)/SUM($C31:$C51)</f>
        <v>41841.261061946905</v>
      </c>
      <c r="F15" s="206"/>
      <c r="G15" s="225" t="e">
        <f>+#REF!/#REF!-1</f>
        <v>#REF!</v>
      </c>
      <c r="H15" s="225"/>
      <c r="I15" s="225" t="e">
        <f>+#REF!/#REF!-1</f>
        <v>#REF!</v>
      </c>
      <c r="J15" s="225"/>
      <c r="K15" s="225" t="e">
        <f>+E15/#REF!-1</f>
        <v>#REF!</v>
      </c>
    </row>
    <row r="16" spans="1:11" hidden="1" outlineLevel="1">
      <c r="D16" s="197" t="s">
        <v>172</v>
      </c>
      <c r="E16" s="206">
        <f>SUMPRODUCT($C31:$C61,E31:E61)/SUM($C31:$C61)</f>
        <v>44703.083985039106</v>
      </c>
      <c r="F16" s="206"/>
      <c r="G16" s="225" t="e">
        <f>+#REF!/#REF!-1</f>
        <v>#REF!</v>
      </c>
      <c r="H16" s="225"/>
      <c r="I16" s="225" t="e">
        <f>+#REF!/#REF!-1</f>
        <v>#REF!</v>
      </c>
      <c r="J16" s="225"/>
      <c r="K16" s="225" t="e">
        <f>+E16/#REF!-1</f>
        <v>#REF!</v>
      </c>
    </row>
    <row r="17" spans="1:12" hidden="1" outlineLevel="1">
      <c r="D17" s="197" t="s">
        <v>173</v>
      </c>
      <c r="E17" s="206">
        <f>SUMPRODUCT($C31:$C71,E31:E71)/SUM($C31:$C71)</f>
        <v>47350.692410119838</v>
      </c>
      <c r="F17" s="206"/>
      <c r="G17" s="225" t="e">
        <f>+#REF!/#REF!-1</f>
        <v>#REF!</v>
      </c>
      <c r="H17" s="225"/>
      <c r="I17" s="225" t="e">
        <f>+#REF!/#REF!-1</f>
        <v>#REF!</v>
      </c>
      <c r="J17" s="225"/>
      <c r="K17" s="225" t="e">
        <f>+E17/#REF!-1</f>
        <v>#REF!</v>
      </c>
    </row>
    <row r="18" spans="1:12" hidden="1" outlineLevel="1">
      <c r="D18" s="197" t="s">
        <v>176</v>
      </c>
      <c r="E18" s="206">
        <f>SUMPRODUCT($C72:$C101,E72:E101)/SUM($C72:$C101)</f>
        <v>70362.689138576781</v>
      </c>
      <c r="F18" s="206"/>
      <c r="G18" s="225" t="e">
        <f>+#REF!/#REF!-1</f>
        <v>#REF!</v>
      </c>
      <c r="H18" s="225"/>
      <c r="I18" s="225" t="e">
        <f>+#REF!/#REF!-1</f>
        <v>#REF!</v>
      </c>
      <c r="J18" s="225"/>
      <c r="K18" s="225" t="e">
        <f>+E18/#REF!-1</f>
        <v>#REF!</v>
      </c>
    </row>
    <row r="19" spans="1:12" collapsed="1">
      <c r="D19" s="23"/>
    </row>
    <row r="20" spans="1:12" hidden="1">
      <c r="D20" s="201" t="s">
        <v>178</v>
      </c>
      <c r="E20" s="200" t="s">
        <v>179</v>
      </c>
      <c r="F20" s="200"/>
      <c r="G20" s="211">
        <v>2023</v>
      </c>
      <c r="H20" s="211"/>
      <c r="I20" s="212" t="s">
        <v>181</v>
      </c>
      <c r="J20" s="212"/>
      <c r="K20" s="209" t="s">
        <v>179</v>
      </c>
      <c r="L20" s="210"/>
    </row>
    <row r="21" spans="1:12" hidden="1">
      <c r="D21" s="202" t="s">
        <v>180</v>
      </c>
      <c r="E21" s="203">
        <f>SUMPRODUCT($C31:$C101,E31:E101)/SUM($C31:$C101)</f>
        <v>50215.790627185823</v>
      </c>
      <c r="F21" s="203"/>
      <c r="G21" s="213" t="e">
        <f>#REF!-#REF!</f>
        <v>#REF!</v>
      </c>
      <c r="H21" s="213"/>
      <c r="I21" s="214" t="e">
        <f>#REF!/#REF!-100%</f>
        <v>#REF!</v>
      </c>
      <c r="J21" s="214"/>
      <c r="K21" s="199" t="e">
        <f>E21-#REF!</f>
        <v>#REF!</v>
      </c>
      <c r="L21" s="204"/>
    </row>
    <row r="22" spans="1:12" hidden="1">
      <c r="D22" s="197" t="s">
        <v>170</v>
      </c>
      <c r="E22" s="196">
        <f>SUMPRODUCT($C31:$C41,E31:E41)/SUM($C31:$C41)</f>
        <v>40000</v>
      </c>
      <c r="F22" s="196"/>
      <c r="G22" s="198" t="e">
        <f>#REF!-#REF!</f>
        <v>#REF!</v>
      </c>
      <c r="H22" s="198"/>
      <c r="I22" s="205" t="e">
        <f>#REF!/#REF!-100%</f>
        <v>#REF!</v>
      </c>
      <c r="J22" s="205"/>
      <c r="K22" s="198" t="e">
        <f>E22-#REF!</f>
        <v>#REF!</v>
      </c>
      <c r="L22" s="205"/>
    </row>
    <row r="23" spans="1:12" hidden="1">
      <c r="D23" s="197" t="s">
        <v>177</v>
      </c>
      <c r="E23" s="196">
        <f>SUMPRODUCT($C42:$C51,E42:E51)/SUM($C42:$C51)</f>
        <v>42401.875901875901</v>
      </c>
      <c r="F23" s="196"/>
      <c r="G23" s="198" t="e">
        <f>#REF!-#REF!</f>
        <v>#REF!</v>
      </c>
      <c r="H23" s="198"/>
      <c r="I23" s="205" t="e">
        <f>#REF!/#REF!-100%</f>
        <v>#REF!</v>
      </c>
      <c r="J23" s="205"/>
      <c r="K23" s="198" t="e">
        <f>E23-#REF!</f>
        <v>#REF!</v>
      </c>
      <c r="L23" s="205"/>
    </row>
    <row r="24" spans="1:12" hidden="1">
      <c r="D24" s="197" t="s">
        <v>174</v>
      </c>
      <c r="E24" s="196">
        <f>SUMPRODUCT($C52:$C61,E52:E61)/SUM($C52:$C61)</f>
        <v>49269.876434245365</v>
      </c>
      <c r="F24" s="196"/>
      <c r="G24" s="198" t="e">
        <f>#REF!-#REF!</f>
        <v>#REF!</v>
      </c>
      <c r="H24" s="198"/>
      <c r="I24" s="205" t="e">
        <f>#REF!/#REF!-100%</f>
        <v>#REF!</v>
      </c>
      <c r="J24" s="205"/>
      <c r="K24" s="198" t="e">
        <f>E24-#REF!</f>
        <v>#REF!</v>
      </c>
      <c r="L24" s="205"/>
    </row>
    <row r="25" spans="1:12" hidden="1">
      <c r="D25" s="197" t="s">
        <v>175</v>
      </c>
      <c r="E25" s="196">
        <f>SUMPRODUCT($C62:$C71,E62:E71)/SUM($C62:$C71)</f>
        <v>56916.560196560196</v>
      </c>
      <c r="F25" s="196"/>
      <c r="G25" s="198" t="e">
        <f>#REF!-#REF!</f>
        <v>#REF!</v>
      </c>
      <c r="H25" s="198"/>
      <c r="I25" s="205" t="e">
        <f>#REF!/#REF!-100%</f>
        <v>#REF!</v>
      </c>
      <c r="J25" s="205"/>
      <c r="K25" s="198" t="e">
        <f>E25-#REF!</f>
        <v>#REF!</v>
      </c>
      <c r="L25" s="205"/>
    </row>
    <row r="26" spans="1:12" hidden="1">
      <c r="D26" s="197" t="s">
        <v>176</v>
      </c>
      <c r="E26" s="196">
        <f>SUMPRODUCT($C72:$C101,E72:E101)/SUM($C72:$C101)</f>
        <v>70362.689138576781</v>
      </c>
      <c r="F26" s="196"/>
      <c r="G26" s="198" t="e">
        <f>#REF!-#REF!</f>
        <v>#REF!</v>
      </c>
      <c r="H26" s="198"/>
      <c r="I26" s="205" t="e">
        <f>#REF!/#REF!-100%</f>
        <v>#REF!</v>
      </c>
      <c r="J26" s="205"/>
      <c r="K26" s="198" t="e">
        <f>E26-#REF!</f>
        <v>#REF!</v>
      </c>
      <c r="L26" s="205"/>
    </row>
    <row r="27" spans="1:12" hidden="1">
      <c r="I27" s="37"/>
      <c r="J27" s="37"/>
      <c r="K27" s="37"/>
      <c r="L27" s="37"/>
    </row>
    <row r="28" spans="1:12">
      <c r="C28" s="37">
        <f>SUM(C31:C42)</f>
        <v>560</v>
      </c>
      <c r="I28" s="37"/>
      <c r="J28" s="37"/>
      <c r="K28" s="37"/>
      <c r="L28" s="37"/>
    </row>
    <row r="29" spans="1:12" ht="34.5">
      <c r="A29" s="26"/>
      <c r="B29" s="48"/>
      <c r="C29" s="636" t="s">
        <v>26</v>
      </c>
      <c r="D29" s="637"/>
      <c r="E29" s="354" t="s">
        <v>217</v>
      </c>
      <c r="F29" s="354" t="s">
        <v>218</v>
      </c>
      <c r="G29" s="354" t="s">
        <v>219</v>
      </c>
      <c r="H29" s="354" t="s">
        <v>220</v>
      </c>
      <c r="I29" s="354" t="s">
        <v>221</v>
      </c>
      <c r="J29" s="354" t="s">
        <v>222</v>
      </c>
      <c r="K29" s="223">
        <v>2026</v>
      </c>
    </row>
    <row r="30" spans="1:12" s="28" customFormat="1" ht="51.75" customHeight="1">
      <c r="A30" s="49" t="s">
        <v>0</v>
      </c>
      <c r="B30" s="220" t="s">
        <v>30</v>
      </c>
      <c r="C30" s="49" t="s">
        <v>1</v>
      </c>
      <c r="D30" s="49" t="s">
        <v>7</v>
      </c>
      <c r="E30" s="27" t="s">
        <v>31</v>
      </c>
      <c r="F30" s="27" t="s">
        <v>31</v>
      </c>
      <c r="G30" s="27" t="s">
        <v>31</v>
      </c>
      <c r="H30" s="27" t="s">
        <v>31</v>
      </c>
      <c r="I30" s="27" t="s">
        <v>31</v>
      </c>
      <c r="J30" s="27" t="s">
        <v>31</v>
      </c>
      <c r="K30" s="27" t="s">
        <v>31</v>
      </c>
    </row>
    <row r="31" spans="1:12" s="28" customFormat="1">
      <c r="A31" s="29">
        <v>0</v>
      </c>
      <c r="B31" s="33">
        <f>+A31*0.1</f>
        <v>0</v>
      </c>
      <c r="C31" s="503">
        <v>6</v>
      </c>
      <c r="D31" s="604">
        <v>40000</v>
      </c>
      <c r="E31" s="34">
        <f t="shared" ref="E31:K31" si="2">+IF(E$3+$A31*E$5*$B31&lt;E$4,E$4+E$7,E$3+$A31*E$5*$B31+E$7)</f>
        <v>40000</v>
      </c>
      <c r="F31" s="34">
        <f t="shared" si="2"/>
        <v>43200</v>
      </c>
      <c r="G31" s="34">
        <f t="shared" si="2"/>
        <v>43200</v>
      </c>
      <c r="H31" s="34">
        <f t="shared" si="2"/>
        <v>44400</v>
      </c>
      <c r="I31" s="34">
        <f t="shared" si="2"/>
        <v>44400</v>
      </c>
      <c r="J31" s="34">
        <f t="shared" si="2"/>
        <v>45600</v>
      </c>
      <c r="K31" s="34">
        <f t="shared" si="2"/>
        <v>47400</v>
      </c>
    </row>
    <row r="32" spans="1:12" s="28" customFormat="1">
      <c r="A32" s="29">
        <v>1</v>
      </c>
      <c r="B32" s="33"/>
      <c r="C32" s="503"/>
      <c r="D32" s="604"/>
      <c r="E32" s="34"/>
      <c r="F32" s="34"/>
      <c r="G32" s="34"/>
      <c r="H32" s="34"/>
      <c r="I32" s="34"/>
      <c r="J32" s="34"/>
      <c r="K32" s="34"/>
      <c r="L32" s="384"/>
    </row>
    <row r="33" spans="1:12" s="28" customFormat="1">
      <c r="A33" s="29">
        <v>2</v>
      </c>
      <c r="B33" s="33">
        <f t="shared" ref="B33:B41" si="3">+A33*0.1</f>
        <v>0.2</v>
      </c>
      <c r="C33" s="503">
        <v>5</v>
      </c>
      <c r="D33" s="604">
        <v>40000</v>
      </c>
      <c r="E33" s="34">
        <f t="shared" ref="E33:K41" si="4">+IF(E$3+$A33*E$5*$B33&lt;E$4,E$4+E$7,E$3+$A33*E$5*$B33+E$7)</f>
        <v>40000</v>
      </c>
      <c r="F33" s="34">
        <f t="shared" si="4"/>
        <v>43200</v>
      </c>
      <c r="G33" s="34">
        <f t="shared" si="4"/>
        <v>43200</v>
      </c>
      <c r="H33" s="34">
        <f t="shared" si="4"/>
        <v>44400</v>
      </c>
      <c r="I33" s="34">
        <f t="shared" si="4"/>
        <v>44400</v>
      </c>
      <c r="J33" s="34">
        <f t="shared" si="4"/>
        <v>45600</v>
      </c>
      <c r="K33" s="34">
        <f t="shared" si="4"/>
        <v>47400</v>
      </c>
    </row>
    <row r="34" spans="1:12" s="28" customFormat="1">
      <c r="A34" s="29">
        <v>3</v>
      </c>
      <c r="B34" s="33">
        <f t="shared" si="3"/>
        <v>0.30000000000000004</v>
      </c>
      <c r="C34" s="503">
        <v>4</v>
      </c>
      <c r="D34" s="604">
        <v>40000</v>
      </c>
      <c r="E34" s="34">
        <f t="shared" si="4"/>
        <v>40000</v>
      </c>
      <c r="F34" s="34">
        <f t="shared" si="4"/>
        <v>43200</v>
      </c>
      <c r="G34" s="34">
        <f t="shared" si="4"/>
        <v>43200</v>
      </c>
      <c r="H34" s="34">
        <f t="shared" si="4"/>
        <v>44400</v>
      </c>
      <c r="I34" s="34">
        <f t="shared" si="4"/>
        <v>44400</v>
      </c>
      <c r="J34" s="34">
        <f t="shared" si="4"/>
        <v>45600</v>
      </c>
      <c r="K34" s="34">
        <f t="shared" si="4"/>
        <v>47400</v>
      </c>
    </row>
    <row r="35" spans="1:12" s="28" customFormat="1">
      <c r="A35" s="29">
        <v>4</v>
      </c>
      <c r="B35" s="33">
        <f t="shared" si="3"/>
        <v>0.4</v>
      </c>
      <c r="C35" s="503">
        <v>4</v>
      </c>
      <c r="D35" s="604">
        <v>40000</v>
      </c>
      <c r="E35" s="34">
        <f t="shared" si="4"/>
        <v>40000</v>
      </c>
      <c r="F35" s="34">
        <f t="shared" si="4"/>
        <v>43200</v>
      </c>
      <c r="G35" s="34">
        <f t="shared" si="4"/>
        <v>43200</v>
      </c>
      <c r="H35" s="34">
        <f t="shared" si="4"/>
        <v>44400</v>
      </c>
      <c r="I35" s="34">
        <f t="shared" si="4"/>
        <v>44400</v>
      </c>
      <c r="J35" s="34">
        <f t="shared" si="4"/>
        <v>45600</v>
      </c>
      <c r="K35" s="34">
        <f t="shared" si="4"/>
        <v>47400</v>
      </c>
    </row>
    <row r="36" spans="1:12">
      <c r="A36" s="29">
        <v>5</v>
      </c>
      <c r="B36" s="33">
        <f t="shared" si="3"/>
        <v>0.5</v>
      </c>
      <c r="C36" s="503">
        <v>45</v>
      </c>
      <c r="D36" s="604">
        <v>40000</v>
      </c>
      <c r="E36" s="34">
        <f t="shared" si="4"/>
        <v>40000</v>
      </c>
      <c r="F36" s="34">
        <f t="shared" si="4"/>
        <v>43200</v>
      </c>
      <c r="G36" s="34">
        <f t="shared" si="4"/>
        <v>43200</v>
      </c>
      <c r="H36" s="34">
        <f t="shared" si="4"/>
        <v>44400</v>
      </c>
      <c r="I36" s="34">
        <f t="shared" si="4"/>
        <v>44400</v>
      </c>
      <c r="J36" s="34">
        <f t="shared" si="4"/>
        <v>45600</v>
      </c>
      <c r="K36" s="34">
        <f t="shared" si="4"/>
        <v>47400</v>
      </c>
      <c r="L36" s="28"/>
    </row>
    <row r="37" spans="1:12">
      <c r="A37" s="29">
        <v>6</v>
      </c>
      <c r="B37" s="33">
        <f t="shared" si="3"/>
        <v>0.60000000000000009</v>
      </c>
      <c r="C37" s="503">
        <v>54</v>
      </c>
      <c r="D37" s="604">
        <v>40000</v>
      </c>
      <c r="E37" s="34">
        <f t="shared" si="4"/>
        <v>40000</v>
      </c>
      <c r="F37" s="34">
        <f t="shared" si="4"/>
        <v>43200</v>
      </c>
      <c r="G37" s="34">
        <f t="shared" si="4"/>
        <v>43200</v>
      </c>
      <c r="H37" s="34">
        <f t="shared" si="4"/>
        <v>44400</v>
      </c>
      <c r="I37" s="34">
        <f t="shared" si="4"/>
        <v>44400</v>
      </c>
      <c r="J37" s="34">
        <f t="shared" si="4"/>
        <v>45600</v>
      </c>
      <c r="K37" s="34">
        <f t="shared" si="4"/>
        <v>47400</v>
      </c>
      <c r="L37" s="28"/>
    </row>
    <row r="38" spans="1:12">
      <c r="A38" s="29">
        <v>7</v>
      </c>
      <c r="B38" s="33">
        <f t="shared" si="3"/>
        <v>0.70000000000000007</v>
      </c>
      <c r="C38" s="503">
        <v>62</v>
      </c>
      <c r="D38" s="604">
        <v>40000</v>
      </c>
      <c r="E38" s="34">
        <f t="shared" si="4"/>
        <v>40000</v>
      </c>
      <c r="F38" s="34">
        <f t="shared" si="4"/>
        <v>43200</v>
      </c>
      <c r="G38" s="34">
        <f t="shared" si="4"/>
        <v>43200</v>
      </c>
      <c r="H38" s="34">
        <f t="shared" si="4"/>
        <v>44400</v>
      </c>
      <c r="I38" s="34">
        <f t="shared" si="4"/>
        <v>44400</v>
      </c>
      <c r="J38" s="34">
        <f t="shared" si="4"/>
        <v>45600</v>
      </c>
      <c r="K38" s="34">
        <f t="shared" si="4"/>
        <v>47400</v>
      </c>
      <c r="L38" s="28"/>
    </row>
    <row r="39" spans="1:12">
      <c r="A39" s="29">
        <v>8</v>
      </c>
      <c r="B39" s="33">
        <f t="shared" si="3"/>
        <v>0.8</v>
      </c>
      <c r="C39" s="503">
        <v>74</v>
      </c>
      <c r="D39" s="604">
        <v>40000</v>
      </c>
      <c r="E39" s="34">
        <f t="shared" si="4"/>
        <v>40000</v>
      </c>
      <c r="F39" s="34">
        <f t="shared" si="4"/>
        <v>43200</v>
      </c>
      <c r="G39" s="34">
        <f t="shared" si="4"/>
        <v>43200</v>
      </c>
      <c r="H39" s="34">
        <f t="shared" si="4"/>
        <v>44400</v>
      </c>
      <c r="I39" s="34">
        <f t="shared" si="4"/>
        <v>44400</v>
      </c>
      <c r="J39" s="34">
        <f t="shared" si="4"/>
        <v>45600</v>
      </c>
      <c r="K39" s="34">
        <f t="shared" si="4"/>
        <v>47400</v>
      </c>
      <c r="L39" s="28"/>
    </row>
    <row r="40" spans="1:12">
      <c r="A40" s="29">
        <v>9</v>
      </c>
      <c r="B40" s="33">
        <f t="shared" si="3"/>
        <v>0.9</v>
      </c>
      <c r="C40" s="503">
        <v>72</v>
      </c>
      <c r="D40" s="604">
        <v>40000</v>
      </c>
      <c r="E40" s="34">
        <f t="shared" si="4"/>
        <v>40000</v>
      </c>
      <c r="F40" s="34">
        <f t="shared" si="4"/>
        <v>43200</v>
      </c>
      <c r="G40" s="34">
        <f t="shared" si="4"/>
        <v>43200</v>
      </c>
      <c r="H40" s="34">
        <f t="shared" si="4"/>
        <v>44400</v>
      </c>
      <c r="I40" s="34">
        <f t="shared" si="4"/>
        <v>44400</v>
      </c>
      <c r="J40" s="34">
        <f t="shared" si="4"/>
        <v>45600</v>
      </c>
      <c r="K40" s="34">
        <f t="shared" si="4"/>
        <v>47400</v>
      </c>
      <c r="L40" s="28"/>
    </row>
    <row r="41" spans="1:12">
      <c r="A41" s="29">
        <v>10</v>
      </c>
      <c r="B41" s="46">
        <f t="shared" si="3"/>
        <v>1</v>
      </c>
      <c r="C41" s="503">
        <v>96</v>
      </c>
      <c r="D41" s="604">
        <v>40000</v>
      </c>
      <c r="E41" s="34">
        <f t="shared" si="4"/>
        <v>40000</v>
      </c>
      <c r="F41" s="34">
        <f t="shared" si="4"/>
        <v>43200</v>
      </c>
      <c r="G41" s="34">
        <f t="shared" si="4"/>
        <v>43200</v>
      </c>
      <c r="H41" s="34">
        <f t="shared" si="4"/>
        <v>44400</v>
      </c>
      <c r="I41" s="34">
        <f t="shared" si="4"/>
        <v>44400</v>
      </c>
      <c r="J41" s="34">
        <f t="shared" si="4"/>
        <v>45600</v>
      </c>
      <c r="K41" s="34">
        <f t="shared" si="4"/>
        <v>47400</v>
      </c>
      <c r="L41" s="28"/>
    </row>
    <row r="42" spans="1:12">
      <c r="A42" s="29">
        <v>11</v>
      </c>
      <c r="B42" s="46">
        <f>+B41+0.01</f>
        <v>1.01</v>
      </c>
      <c r="C42" s="30">
        <v>138</v>
      </c>
      <c r="D42" s="604">
        <v>40000</v>
      </c>
      <c r="E42" s="34">
        <f t="shared" ref="E42:K51" si="5">IF(E$3+(E$5*10+($A42-10)*E$6)*$B42&lt;E$4,E$4+E$7,E$3+(E$5*10+($A42-10)*E$6)*$B42+E$7)</f>
        <v>40000</v>
      </c>
      <c r="F42" s="34">
        <f t="shared" si="5"/>
        <v>43730.25</v>
      </c>
      <c r="G42" s="34">
        <f t="shared" si="5"/>
        <v>43705</v>
      </c>
      <c r="H42" s="34">
        <f t="shared" si="5"/>
        <v>44955.5</v>
      </c>
      <c r="I42" s="34">
        <f t="shared" si="5"/>
        <v>45031.25</v>
      </c>
      <c r="J42" s="34">
        <f t="shared" si="5"/>
        <v>46408</v>
      </c>
      <c r="K42" s="34">
        <f t="shared" si="5"/>
        <v>49319</v>
      </c>
      <c r="L42" s="28"/>
    </row>
    <row r="43" spans="1:12">
      <c r="A43" s="29">
        <v>12</v>
      </c>
      <c r="B43" s="46">
        <f t="shared" ref="B43:B71" si="6">+B42+0.01</f>
        <v>1.02</v>
      </c>
      <c r="C43" s="30">
        <v>144</v>
      </c>
      <c r="D43" s="604">
        <v>40104.65</v>
      </c>
      <c r="E43" s="34">
        <f t="shared" si="5"/>
        <v>40110</v>
      </c>
      <c r="F43" s="34">
        <f t="shared" si="5"/>
        <v>44271</v>
      </c>
      <c r="G43" s="34">
        <f t="shared" si="5"/>
        <v>44220</v>
      </c>
      <c r="H43" s="34">
        <f t="shared" si="5"/>
        <v>45522</v>
      </c>
      <c r="I43" s="34">
        <f t="shared" si="5"/>
        <v>45675</v>
      </c>
      <c r="J43" s="34">
        <f t="shared" si="5"/>
        <v>47232</v>
      </c>
      <c r="K43" s="34">
        <f t="shared" si="5"/>
        <v>51276</v>
      </c>
      <c r="L43" s="28"/>
    </row>
    <row r="44" spans="1:12">
      <c r="A44" s="29">
        <v>13</v>
      </c>
      <c r="B44" s="46">
        <f t="shared" si="6"/>
        <v>1.03</v>
      </c>
      <c r="C44" s="30">
        <v>146</v>
      </c>
      <c r="D44" s="604">
        <v>40685.410000000003</v>
      </c>
      <c r="E44" s="34">
        <f t="shared" si="5"/>
        <v>40730</v>
      </c>
      <c r="F44" s="34">
        <f t="shared" si="5"/>
        <v>44822.25</v>
      </c>
      <c r="G44" s="34">
        <f t="shared" si="5"/>
        <v>44745</v>
      </c>
      <c r="H44" s="34">
        <f t="shared" si="5"/>
        <v>46099.5</v>
      </c>
      <c r="I44" s="34">
        <f t="shared" si="5"/>
        <v>46331.25</v>
      </c>
      <c r="J44" s="34">
        <f t="shared" si="5"/>
        <v>48072</v>
      </c>
      <c r="K44" s="34">
        <f t="shared" si="5"/>
        <v>53271</v>
      </c>
      <c r="L44" s="28"/>
    </row>
    <row r="45" spans="1:12">
      <c r="A45" s="29">
        <v>14</v>
      </c>
      <c r="B45" s="46">
        <f t="shared" si="6"/>
        <v>1.04</v>
      </c>
      <c r="C45" s="30">
        <v>128</v>
      </c>
      <c r="D45" s="604">
        <v>41313.440000000002</v>
      </c>
      <c r="E45" s="34">
        <f t="shared" si="5"/>
        <v>41360</v>
      </c>
      <c r="F45" s="34">
        <f t="shared" si="5"/>
        <v>45384</v>
      </c>
      <c r="G45" s="34">
        <f t="shared" si="5"/>
        <v>45280</v>
      </c>
      <c r="H45" s="34">
        <f t="shared" si="5"/>
        <v>46688</v>
      </c>
      <c r="I45" s="34">
        <f t="shared" si="5"/>
        <v>47000</v>
      </c>
      <c r="J45" s="34">
        <f t="shared" si="5"/>
        <v>48928</v>
      </c>
      <c r="K45" s="34">
        <f t="shared" si="5"/>
        <v>55304</v>
      </c>
      <c r="L45" s="28"/>
    </row>
    <row r="46" spans="1:12">
      <c r="A46" s="29">
        <v>15</v>
      </c>
      <c r="B46" s="46">
        <f t="shared" si="6"/>
        <v>1.05</v>
      </c>
      <c r="C46" s="30">
        <v>138</v>
      </c>
      <c r="D46" s="604">
        <v>41923.730000000003</v>
      </c>
      <c r="E46" s="34">
        <f t="shared" si="5"/>
        <v>42000</v>
      </c>
      <c r="F46" s="34">
        <f t="shared" si="5"/>
        <v>45956.25</v>
      </c>
      <c r="G46" s="34">
        <f t="shared" si="5"/>
        <v>45825</v>
      </c>
      <c r="H46" s="34">
        <f t="shared" si="5"/>
        <v>47287.5</v>
      </c>
      <c r="I46" s="34">
        <f t="shared" si="5"/>
        <v>47681.25</v>
      </c>
      <c r="J46" s="34">
        <f t="shared" si="5"/>
        <v>49800</v>
      </c>
      <c r="K46" s="34">
        <f t="shared" si="5"/>
        <v>57375</v>
      </c>
      <c r="L46" s="28"/>
    </row>
    <row r="47" spans="1:12">
      <c r="A47" s="29">
        <v>16</v>
      </c>
      <c r="B47" s="46">
        <f t="shared" si="6"/>
        <v>1.06</v>
      </c>
      <c r="C47" s="30">
        <v>141</v>
      </c>
      <c r="D47" s="604">
        <v>42567.3</v>
      </c>
      <c r="E47" s="34">
        <f t="shared" si="5"/>
        <v>42650</v>
      </c>
      <c r="F47" s="34">
        <f t="shared" si="5"/>
        <v>46539</v>
      </c>
      <c r="G47" s="34">
        <f t="shared" si="5"/>
        <v>46380</v>
      </c>
      <c r="H47" s="34">
        <f t="shared" si="5"/>
        <v>47898</v>
      </c>
      <c r="I47" s="34">
        <f t="shared" si="5"/>
        <v>48375</v>
      </c>
      <c r="J47" s="34">
        <f t="shared" si="5"/>
        <v>50688</v>
      </c>
      <c r="K47" s="34">
        <f t="shared" si="5"/>
        <v>59484</v>
      </c>
      <c r="L47" s="28"/>
    </row>
    <row r="48" spans="1:12">
      <c r="A48" s="29">
        <v>17</v>
      </c>
      <c r="B48" s="46">
        <f t="shared" si="6"/>
        <v>1.07</v>
      </c>
      <c r="C48" s="30">
        <v>141</v>
      </c>
      <c r="D48" s="604">
        <v>43275.85</v>
      </c>
      <c r="E48" s="34">
        <f t="shared" si="5"/>
        <v>43310</v>
      </c>
      <c r="F48" s="34">
        <f t="shared" si="5"/>
        <v>47132.25</v>
      </c>
      <c r="G48" s="34">
        <f t="shared" si="5"/>
        <v>46945</v>
      </c>
      <c r="H48" s="34">
        <f t="shared" si="5"/>
        <v>48519.5</v>
      </c>
      <c r="I48" s="34">
        <f t="shared" si="5"/>
        <v>49081.25</v>
      </c>
      <c r="J48" s="34">
        <f t="shared" si="5"/>
        <v>51592</v>
      </c>
      <c r="K48" s="34">
        <f t="shared" si="5"/>
        <v>61631</v>
      </c>
      <c r="L48" s="28"/>
    </row>
    <row r="49" spans="1:12">
      <c r="A49" s="29">
        <v>18</v>
      </c>
      <c r="B49" s="46">
        <f t="shared" si="6"/>
        <v>1.08</v>
      </c>
      <c r="C49" s="30">
        <v>140</v>
      </c>
      <c r="D49" s="604">
        <v>43901.43</v>
      </c>
      <c r="E49" s="34">
        <f t="shared" si="5"/>
        <v>43980</v>
      </c>
      <c r="F49" s="34">
        <f t="shared" si="5"/>
        <v>47736</v>
      </c>
      <c r="G49" s="34">
        <f t="shared" si="5"/>
        <v>47520</v>
      </c>
      <c r="H49" s="34">
        <f t="shared" si="5"/>
        <v>49152</v>
      </c>
      <c r="I49" s="34">
        <f t="shared" si="5"/>
        <v>49800</v>
      </c>
      <c r="J49" s="34">
        <f t="shared" si="5"/>
        <v>52512</v>
      </c>
      <c r="K49" s="34">
        <f t="shared" si="5"/>
        <v>63816</v>
      </c>
      <c r="L49" s="28"/>
    </row>
    <row r="50" spans="1:12">
      <c r="A50" s="29">
        <v>19</v>
      </c>
      <c r="B50" s="46">
        <f t="shared" si="6"/>
        <v>1.0900000000000001</v>
      </c>
      <c r="C50" s="30">
        <v>124</v>
      </c>
      <c r="D50" s="604">
        <v>44646.81</v>
      </c>
      <c r="E50" s="34">
        <f t="shared" si="5"/>
        <v>44660</v>
      </c>
      <c r="F50" s="34">
        <f t="shared" si="5"/>
        <v>48350.25</v>
      </c>
      <c r="G50" s="34">
        <f t="shared" si="5"/>
        <v>48105</v>
      </c>
      <c r="H50" s="34">
        <f t="shared" si="5"/>
        <v>49795.5</v>
      </c>
      <c r="I50" s="34">
        <f t="shared" si="5"/>
        <v>50531.25</v>
      </c>
      <c r="J50" s="34">
        <f t="shared" si="5"/>
        <v>53448</v>
      </c>
      <c r="K50" s="34">
        <f t="shared" si="5"/>
        <v>66039</v>
      </c>
      <c r="L50" s="28"/>
    </row>
    <row r="51" spans="1:12">
      <c r="A51" s="29">
        <v>20</v>
      </c>
      <c r="B51" s="46">
        <f t="shared" si="6"/>
        <v>1.1000000000000001</v>
      </c>
      <c r="C51" s="30">
        <v>146</v>
      </c>
      <c r="D51" s="604">
        <v>45282.19</v>
      </c>
      <c r="E51" s="34">
        <f t="shared" si="5"/>
        <v>45350</v>
      </c>
      <c r="F51" s="34">
        <f t="shared" si="5"/>
        <v>48975</v>
      </c>
      <c r="G51" s="34">
        <f t="shared" si="5"/>
        <v>48700</v>
      </c>
      <c r="H51" s="34">
        <f t="shared" si="5"/>
        <v>50450</v>
      </c>
      <c r="I51" s="34">
        <f t="shared" si="5"/>
        <v>51275</v>
      </c>
      <c r="J51" s="34">
        <f t="shared" si="5"/>
        <v>54400</v>
      </c>
      <c r="K51" s="34">
        <f t="shared" si="5"/>
        <v>68300</v>
      </c>
      <c r="L51" s="28"/>
    </row>
    <row r="52" spans="1:12">
      <c r="A52" s="29">
        <v>21</v>
      </c>
      <c r="B52" s="46">
        <f t="shared" si="6"/>
        <v>1.1100000000000001</v>
      </c>
      <c r="C52" s="30">
        <v>117</v>
      </c>
      <c r="D52" s="604">
        <v>45902.95</v>
      </c>
      <c r="E52" s="34">
        <f t="shared" ref="E52:K61" si="7">IF(E$3+(E$5*10+($A52-10)*E$6)*$B52&lt;E$4,E$4+E$7,E$3+(E$5*10+($A52-10)*E$6)*$B52+E$7)</f>
        <v>46050</v>
      </c>
      <c r="F52" s="34">
        <f t="shared" si="7"/>
        <v>49610.25</v>
      </c>
      <c r="G52" s="34">
        <f t="shared" si="7"/>
        <v>49305</v>
      </c>
      <c r="H52" s="34">
        <f t="shared" si="7"/>
        <v>51115.5</v>
      </c>
      <c r="I52" s="34">
        <f t="shared" si="7"/>
        <v>52031.25</v>
      </c>
      <c r="J52" s="34">
        <f t="shared" si="7"/>
        <v>55368</v>
      </c>
      <c r="K52" s="34">
        <f t="shared" si="7"/>
        <v>70599</v>
      </c>
      <c r="L52" s="28"/>
    </row>
    <row r="53" spans="1:12">
      <c r="A53" s="29">
        <v>22</v>
      </c>
      <c r="B53" s="46">
        <f t="shared" si="6"/>
        <v>1.1200000000000001</v>
      </c>
      <c r="C53" s="30">
        <v>128</v>
      </c>
      <c r="D53" s="604">
        <v>46646.25</v>
      </c>
      <c r="E53" s="34">
        <f t="shared" si="7"/>
        <v>46760</v>
      </c>
      <c r="F53" s="34">
        <f t="shared" si="7"/>
        <v>50256</v>
      </c>
      <c r="G53" s="34">
        <f t="shared" si="7"/>
        <v>49920</v>
      </c>
      <c r="H53" s="34">
        <f t="shared" si="7"/>
        <v>51792</v>
      </c>
      <c r="I53" s="34">
        <f t="shared" si="7"/>
        <v>52800</v>
      </c>
      <c r="J53" s="34">
        <f t="shared" si="7"/>
        <v>56352</v>
      </c>
      <c r="K53" s="34">
        <f t="shared" si="7"/>
        <v>72936</v>
      </c>
      <c r="L53" s="28"/>
    </row>
    <row r="54" spans="1:12">
      <c r="A54" s="29">
        <v>23</v>
      </c>
      <c r="B54" s="46">
        <f t="shared" si="6"/>
        <v>1.1300000000000001</v>
      </c>
      <c r="C54" s="30">
        <v>123</v>
      </c>
      <c r="D54" s="604">
        <v>47480</v>
      </c>
      <c r="E54" s="34">
        <f t="shared" si="7"/>
        <v>47480</v>
      </c>
      <c r="F54" s="34">
        <f t="shared" si="7"/>
        <v>50912.25</v>
      </c>
      <c r="G54" s="34">
        <f t="shared" si="7"/>
        <v>50545</v>
      </c>
      <c r="H54" s="34">
        <f t="shared" si="7"/>
        <v>52479.5</v>
      </c>
      <c r="I54" s="34">
        <f t="shared" si="7"/>
        <v>53581.25</v>
      </c>
      <c r="J54" s="34">
        <f t="shared" si="7"/>
        <v>57352</v>
      </c>
      <c r="K54" s="34">
        <f t="shared" si="7"/>
        <v>75311</v>
      </c>
      <c r="L54" s="28"/>
    </row>
    <row r="55" spans="1:12">
      <c r="A55" s="29">
        <v>24</v>
      </c>
      <c r="B55" s="46">
        <f t="shared" si="6"/>
        <v>1.1400000000000001</v>
      </c>
      <c r="C55" s="30">
        <v>105</v>
      </c>
      <c r="D55" s="604">
        <v>48161.14</v>
      </c>
      <c r="E55" s="34">
        <f t="shared" si="7"/>
        <v>48210</v>
      </c>
      <c r="F55" s="34">
        <f t="shared" si="7"/>
        <v>51579</v>
      </c>
      <c r="G55" s="34">
        <f t="shared" si="7"/>
        <v>51180</v>
      </c>
      <c r="H55" s="34">
        <f t="shared" si="7"/>
        <v>53178</v>
      </c>
      <c r="I55" s="34">
        <f t="shared" si="7"/>
        <v>54375</v>
      </c>
      <c r="J55" s="34">
        <f t="shared" si="7"/>
        <v>58368</v>
      </c>
      <c r="K55" s="34">
        <f t="shared" si="7"/>
        <v>77724</v>
      </c>
      <c r="L55" s="28"/>
    </row>
    <row r="56" spans="1:12">
      <c r="A56" s="29">
        <v>25</v>
      </c>
      <c r="B56" s="46">
        <f t="shared" si="6"/>
        <v>1.1500000000000001</v>
      </c>
      <c r="C56" s="30">
        <v>111</v>
      </c>
      <c r="D56" s="604">
        <v>48924.1</v>
      </c>
      <c r="E56" s="34">
        <f t="shared" si="7"/>
        <v>48950</v>
      </c>
      <c r="F56" s="34">
        <f t="shared" si="7"/>
        <v>52256.25</v>
      </c>
      <c r="G56" s="34">
        <f t="shared" si="7"/>
        <v>51825</v>
      </c>
      <c r="H56" s="34">
        <f t="shared" si="7"/>
        <v>53887.5</v>
      </c>
      <c r="I56" s="34">
        <f t="shared" si="7"/>
        <v>55181.25</v>
      </c>
      <c r="J56" s="34">
        <f t="shared" si="7"/>
        <v>59400</v>
      </c>
      <c r="K56" s="34">
        <f t="shared" si="7"/>
        <v>80175</v>
      </c>
      <c r="L56" s="28"/>
    </row>
    <row r="57" spans="1:12">
      <c r="A57" s="29">
        <v>26</v>
      </c>
      <c r="B57" s="46">
        <f t="shared" si="6"/>
        <v>1.1600000000000001</v>
      </c>
      <c r="C57" s="30">
        <v>127</v>
      </c>
      <c r="D57" s="604">
        <v>49686.3</v>
      </c>
      <c r="E57" s="34">
        <f t="shared" si="7"/>
        <v>49700</v>
      </c>
      <c r="F57" s="34">
        <f t="shared" si="7"/>
        <v>52944</v>
      </c>
      <c r="G57" s="34">
        <f t="shared" si="7"/>
        <v>52480</v>
      </c>
      <c r="H57" s="34">
        <f t="shared" si="7"/>
        <v>54608</v>
      </c>
      <c r="I57" s="34">
        <f t="shared" si="7"/>
        <v>56000</v>
      </c>
      <c r="J57" s="34">
        <f t="shared" si="7"/>
        <v>60448</v>
      </c>
      <c r="K57" s="34">
        <f t="shared" si="7"/>
        <v>82664</v>
      </c>
      <c r="L57" s="28"/>
    </row>
    <row r="58" spans="1:12">
      <c r="A58" s="29">
        <v>27</v>
      </c>
      <c r="B58" s="46">
        <f t="shared" si="6"/>
        <v>1.1700000000000002</v>
      </c>
      <c r="C58" s="30">
        <v>98</v>
      </c>
      <c r="D58" s="604">
        <v>50418.21</v>
      </c>
      <c r="E58" s="34">
        <f t="shared" si="7"/>
        <v>50460</v>
      </c>
      <c r="F58" s="34">
        <f t="shared" si="7"/>
        <v>53642.25</v>
      </c>
      <c r="G58" s="34">
        <f t="shared" si="7"/>
        <v>53145</v>
      </c>
      <c r="H58" s="34">
        <f t="shared" si="7"/>
        <v>55339.5</v>
      </c>
      <c r="I58" s="34">
        <f t="shared" si="7"/>
        <v>56831.25</v>
      </c>
      <c r="J58" s="34">
        <f t="shared" si="7"/>
        <v>61512</v>
      </c>
      <c r="K58" s="34">
        <f t="shared" si="7"/>
        <v>85191</v>
      </c>
      <c r="L58" s="28"/>
    </row>
    <row r="59" spans="1:12">
      <c r="A59" s="29">
        <v>28</v>
      </c>
      <c r="B59" s="46">
        <f t="shared" si="6"/>
        <v>1.1800000000000002</v>
      </c>
      <c r="C59" s="30">
        <v>114</v>
      </c>
      <c r="D59" s="604">
        <v>51198.95</v>
      </c>
      <c r="E59" s="34">
        <f t="shared" si="7"/>
        <v>51230</v>
      </c>
      <c r="F59" s="34">
        <f t="shared" si="7"/>
        <v>54351</v>
      </c>
      <c r="G59" s="34">
        <f t="shared" si="7"/>
        <v>53820</v>
      </c>
      <c r="H59" s="34">
        <f t="shared" si="7"/>
        <v>56082</v>
      </c>
      <c r="I59" s="34">
        <f t="shared" si="7"/>
        <v>57675</v>
      </c>
      <c r="J59" s="34">
        <f t="shared" si="7"/>
        <v>62592</v>
      </c>
      <c r="K59" s="34">
        <f t="shared" si="7"/>
        <v>87756</v>
      </c>
      <c r="L59" s="28"/>
    </row>
    <row r="60" spans="1:12">
      <c r="A60" s="29">
        <v>29</v>
      </c>
      <c r="B60" s="46">
        <f t="shared" si="6"/>
        <v>1.1900000000000002</v>
      </c>
      <c r="C60" s="30">
        <v>90</v>
      </c>
      <c r="D60" s="604">
        <v>52010</v>
      </c>
      <c r="E60" s="34">
        <f t="shared" si="7"/>
        <v>52010</v>
      </c>
      <c r="F60" s="34">
        <f t="shared" si="7"/>
        <v>55070.25</v>
      </c>
      <c r="G60" s="34">
        <f t="shared" si="7"/>
        <v>54505</v>
      </c>
      <c r="H60" s="34">
        <f t="shared" si="7"/>
        <v>56835.5</v>
      </c>
      <c r="I60" s="34">
        <f t="shared" si="7"/>
        <v>58531.25</v>
      </c>
      <c r="J60" s="34">
        <f t="shared" si="7"/>
        <v>63688</v>
      </c>
      <c r="K60" s="34">
        <f t="shared" si="7"/>
        <v>90359</v>
      </c>
      <c r="L60" s="28"/>
    </row>
    <row r="61" spans="1:12">
      <c r="A61" s="29">
        <v>30</v>
      </c>
      <c r="B61" s="46">
        <f t="shared" si="6"/>
        <v>1.2000000000000002</v>
      </c>
      <c r="C61" s="30">
        <v>120</v>
      </c>
      <c r="D61" s="604">
        <v>52800</v>
      </c>
      <c r="E61" s="34">
        <f t="shared" si="7"/>
        <v>52800</v>
      </c>
      <c r="F61" s="34">
        <f t="shared" si="7"/>
        <v>55800</v>
      </c>
      <c r="G61" s="34">
        <f t="shared" si="7"/>
        <v>55200</v>
      </c>
      <c r="H61" s="34">
        <f t="shared" si="7"/>
        <v>57600</v>
      </c>
      <c r="I61" s="34">
        <f t="shared" si="7"/>
        <v>59400</v>
      </c>
      <c r="J61" s="34">
        <f t="shared" si="7"/>
        <v>64800</v>
      </c>
      <c r="K61" s="34">
        <f t="shared" si="7"/>
        <v>93000</v>
      </c>
      <c r="L61" s="28"/>
    </row>
    <row r="62" spans="1:12">
      <c r="A62" s="29">
        <v>31</v>
      </c>
      <c r="B62" s="46">
        <f t="shared" si="6"/>
        <v>1.2100000000000002</v>
      </c>
      <c r="C62" s="30">
        <v>110</v>
      </c>
      <c r="D62" s="604">
        <v>53556</v>
      </c>
      <c r="E62" s="34">
        <f t="shared" ref="E62:K71" si="8">IF(E$3+(E$5*10+($A62-10)*E$6)*$B62&lt;E$4,E$4+E$7,E$3+(E$5*10+($A62-10)*E$6)*$B62+E$7)</f>
        <v>53600</v>
      </c>
      <c r="F62" s="34">
        <f t="shared" si="8"/>
        <v>56540.25</v>
      </c>
      <c r="G62" s="34">
        <f t="shared" si="8"/>
        <v>55905</v>
      </c>
      <c r="H62" s="34">
        <f t="shared" si="8"/>
        <v>58375.5</v>
      </c>
      <c r="I62" s="34">
        <f t="shared" si="8"/>
        <v>60281.25</v>
      </c>
      <c r="J62" s="34">
        <f t="shared" si="8"/>
        <v>65928</v>
      </c>
      <c r="K62" s="34">
        <f t="shared" si="8"/>
        <v>95679</v>
      </c>
      <c r="L62" s="28"/>
    </row>
    <row r="63" spans="1:12">
      <c r="A63" s="29">
        <v>32</v>
      </c>
      <c r="B63" s="46">
        <f t="shared" si="6"/>
        <v>1.2200000000000002</v>
      </c>
      <c r="C63" s="30">
        <v>110</v>
      </c>
      <c r="D63" s="604">
        <v>54410</v>
      </c>
      <c r="E63" s="34">
        <f t="shared" si="8"/>
        <v>54410</v>
      </c>
      <c r="F63" s="34">
        <f t="shared" si="8"/>
        <v>57291</v>
      </c>
      <c r="G63" s="34">
        <f t="shared" si="8"/>
        <v>56620</v>
      </c>
      <c r="H63" s="34">
        <f t="shared" si="8"/>
        <v>59162</v>
      </c>
      <c r="I63" s="34">
        <f t="shared" si="8"/>
        <v>61175</v>
      </c>
      <c r="J63" s="34">
        <f t="shared" si="8"/>
        <v>67072</v>
      </c>
      <c r="K63" s="34">
        <f t="shared" si="8"/>
        <v>98396</v>
      </c>
      <c r="L63" s="28"/>
    </row>
    <row r="64" spans="1:12">
      <c r="A64" s="29">
        <v>33</v>
      </c>
      <c r="B64" s="46">
        <f t="shared" si="6"/>
        <v>1.2300000000000002</v>
      </c>
      <c r="C64" s="30">
        <v>85</v>
      </c>
      <c r="D64" s="604">
        <v>55230</v>
      </c>
      <c r="E64" s="34">
        <f t="shared" si="8"/>
        <v>55230</v>
      </c>
      <c r="F64" s="34">
        <f t="shared" si="8"/>
        <v>58052.25</v>
      </c>
      <c r="G64" s="34">
        <f t="shared" si="8"/>
        <v>57345</v>
      </c>
      <c r="H64" s="34">
        <f t="shared" si="8"/>
        <v>59959.5</v>
      </c>
      <c r="I64" s="34">
        <f t="shared" si="8"/>
        <v>62081.25</v>
      </c>
      <c r="J64" s="34">
        <f t="shared" si="8"/>
        <v>68232</v>
      </c>
      <c r="K64" s="34">
        <f t="shared" si="8"/>
        <v>101151</v>
      </c>
      <c r="L64" s="28"/>
    </row>
    <row r="65" spans="1:12">
      <c r="A65" s="29">
        <v>34</v>
      </c>
      <c r="B65" s="46">
        <f t="shared" si="6"/>
        <v>1.2400000000000002</v>
      </c>
      <c r="C65" s="30">
        <v>83</v>
      </c>
      <c r="D65" s="604">
        <v>56060</v>
      </c>
      <c r="E65" s="34">
        <f t="shared" si="8"/>
        <v>56060</v>
      </c>
      <c r="F65" s="34">
        <f t="shared" si="8"/>
        <v>58824</v>
      </c>
      <c r="G65" s="34">
        <f t="shared" si="8"/>
        <v>58080</v>
      </c>
      <c r="H65" s="34">
        <f t="shared" si="8"/>
        <v>60768</v>
      </c>
      <c r="I65" s="34">
        <f t="shared" si="8"/>
        <v>63000</v>
      </c>
      <c r="J65" s="34">
        <f t="shared" si="8"/>
        <v>69408</v>
      </c>
      <c r="K65" s="34">
        <f t="shared" si="8"/>
        <v>103944</v>
      </c>
      <c r="L65" s="28"/>
    </row>
    <row r="66" spans="1:12">
      <c r="A66" s="29">
        <v>35</v>
      </c>
      <c r="B66" s="46">
        <f t="shared" si="6"/>
        <v>1.2500000000000002</v>
      </c>
      <c r="C66" s="30">
        <v>79</v>
      </c>
      <c r="D66" s="604">
        <v>56900</v>
      </c>
      <c r="E66" s="34">
        <f t="shared" si="8"/>
        <v>56900</v>
      </c>
      <c r="F66" s="34">
        <f t="shared" si="8"/>
        <v>59606.25</v>
      </c>
      <c r="G66" s="34">
        <f t="shared" si="8"/>
        <v>58825</v>
      </c>
      <c r="H66" s="34">
        <f t="shared" si="8"/>
        <v>61587.5</v>
      </c>
      <c r="I66" s="34">
        <f t="shared" si="8"/>
        <v>63931.25</v>
      </c>
      <c r="J66" s="34">
        <f t="shared" si="8"/>
        <v>70600</v>
      </c>
      <c r="K66" s="34">
        <f t="shared" si="8"/>
        <v>106775</v>
      </c>
      <c r="L66" s="28"/>
    </row>
    <row r="67" spans="1:12">
      <c r="A67" s="29">
        <v>36</v>
      </c>
      <c r="B67" s="46">
        <f t="shared" si="6"/>
        <v>1.2600000000000002</v>
      </c>
      <c r="C67" s="30">
        <v>80</v>
      </c>
      <c r="D67" s="604">
        <v>57750</v>
      </c>
      <c r="E67" s="34">
        <f t="shared" si="8"/>
        <v>57750</v>
      </c>
      <c r="F67" s="34">
        <f t="shared" si="8"/>
        <v>60399</v>
      </c>
      <c r="G67" s="34">
        <f t="shared" si="8"/>
        <v>59580</v>
      </c>
      <c r="H67" s="34">
        <f t="shared" si="8"/>
        <v>62418</v>
      </c>
      <c r="I67" s="34">
        <f t="shared" si="8"/>
        <v>64875</v>
      </c>
      <c r="J67" s="34">
        <f t="shared" si="8"/>
        <v>71808</v>
      </c>
      <c r="K67" s="34">
        <f t="shared" si="8"/>
        <v>109644.00000000001</v>
      </c>
      <c r="L67" s="28"/>
    </row>
    <row r="68" spans="1:12">
      <c r="A68" s="29">
        <v>37</v>
      </c>
      <c r="B68" s="46">
        <f t="shared" si="6"/>
        <v>1.2700000000000002</v>
      </c>
      <c r="C68" s="30">
        <v>72</v>
      </c>
      <c r="D68" s="604">
        <v>58610</v>
      </c>
      <c r="E68" s="34">
        <f t="shared" si="8"/>
        <v>58610.000000000007</v>
      </c>
      <c r="F68" s="34">
        <f t="shared" si="8"/>
        <v>61202.25</v>
      </c>
      <c r="G68" s="34">
        <f t="shared" si="8"/>
        <v>60345</v>
      </c>
      <c r="H68" s="34">
        <f t="shared" si="8"/>
        <v>63259.5</v>
      </c>
      <c r="I68" s="34">
        <f t="shared" si="8"/>
        <v>65831.25</v>
      </c>
      <c r="J68" s="34">
        <f t="shared" si="8"/>
        <v>73032</v>
      </c>
      <c r="K68" s="34">
        <f t="shared" si="8"/>
        <v>112551.00000000001</v>
      </c>
      <c r="L68" s="28"/>
    </row>
    <row r="69" spans="1:12">
      <c r="A69" s="29">
        <v>38</v>
      </c>
      <c r="B69" s="46">
        <f t="shared" si="6"/>
        <v>1.2800000000000002</v>
      </c>
      <c r="C69" s="30">
        <v>68</v>
      </c>
      <c r="D69" s="604">
        <v>59480</v>
      </c>
      <c r="E69" s="34">
        <f t="shared" si="8"/>
        <v>59480.000000000007</v>
      </c>
      <c r="F69" s="34">
        <f t="shared" si="8"/>
        <v>62016</v>
      </c>
      <c r="G69" s="34">
        <f t="shared" si="8"/>
        <v>61120</v>
      </c>
      <c r="H69" s="34">
        <f t="shared" si="8"/>
        <v>64112</v>
      </c>
      <c r="I69" s="34">
        <f t="shared" si="8"/>
        <v>66800</v>
      </c>
      <c r="J69" s="34">
        <f t="shared" si="8"/>
        <v>74272</v>
      </c>
      <c r="K69" s="34">
        <f t="shared" si="8"/>
        <v>115496.00000000001</v>
      </c>
      <c r="L69" s="28"/>
    </row>
    <row r="70" spans="1:12">
      <c r="A70" s="29">
        <v>39</v>
      </c>
      <c r="B70" s="46">
        <f t="shared" si="6"/>
        <v>1.2900000000000003</v>
      </c>
      <c r="C70" s="30">
        <v>64</v>
      </c>
      <c r="D70" s="604">
        <v>60360</v>
      </c>
      <c r="E70" s="34">
        <f t="shared" si="8"/>
        <v>60360.000000000007</v>
      </c>
      <c r="F70" s="34">
        <f t="shared" si="8"/>
        <v>62840.25</v>
      </c>
      <c r="G70" s="34">
        <f t="shared" si="8"/>
        <v>61905</v>
      </c>
      <c r="H70" s="34">
        <f t="shared" si="8"/>
        <v>64975.5</v>
      </c>
      <c r="I70" s="34">
        <f t="shared" si="8"/>
        <v>67781.25</v>
      </c>
      <c r="J70" s="34">
        <f t="shared" si="8"/>
        <v>75528</v>
      </c>
      <c r="K70" s="34">
        <f t="shared" si="8"/>
        <v>118479.00000000001</v>
      </c>
      <c r="L70" s="28"/>
    </row>
    <row r="71" spans="1:12">
      <c r="A71" s="29">
        <v>40</v>
      </c>
      <c r="B71" s="46">
        <f t="shared" si="6"/>
        <v>1.3000000000000003</v>
      </c>
      <c r="C71" s="30">
        <v>63</v>
      </c>
      <c r="D71" s="604">
        <v>61250</v>
      </c>
      <c r="E71" s="34">
        <f t="shared" si="8"/>
        <v>61250.000000000007</v>
      </c>
      <c r="F71" s="34">
        <f t="shared" si="8"/>
        <v>63675</v>
      </c>
      <c r="G71" s="34">
        <f t="shared" si="8"/>
        <v>62700</v>
      </c>
      <c r="H71" s="34">
        <f t="shared" si="8"/>
        <v>65850</v>
      </c>
      <c r="I71" s="34">
        <f t="shared" si="8"/>
        <v>68775</v>
      </c>
      <c r="J71" s="34">
        <f t="shared" si="8"/>
        <v>76800</v>
      </c>
      <c r="K71" s="34">
        <f t="shared" si="8"/>
        <v>121500.00000000001</v>
      </c>
      <c r="L71" s="28"/>
    </row>
    <row r="72" spans="1:12">
      <c r="A72" s="29">
        <v>41</v>
      </c>
      <c r="B72" s="46">
        <f>+B71+0.02</f>
        <v>1.3200000000000003</v>
      </c>
      <c r="C72" s="30">
        <v>58</v>
      </c>
      <c r="D72" s="604">
        <v>62400</v>
      </c>
      <c r="E72" s="34">
        <f t="shared" ref="E72:E95" si="9">E$3+(E$5*10+($A72-10)*E$6)*$B72+E$7</f>
        <v>62400.000000000007</v>
      </c>
      <c r="F72" s="34">
        <f t="shared" ref="F72:K81" si="10">IF(F$3+(F$5*10+($A72-10)*F$6)*$B72&lt;F$4,F$4+F$7,F$3+(F$5*10+($A72-10)*F$6)*$B72+F$7)</f>
        <v>64683</v>
      </c>
      <c r="G72" s="34">
        <f t="shared" si="10"/>
        <v>63660</v>
      </c>
      <c r="H72" s="34">
        <f t="shared" si="10"/>
        <v>66906</v>
      </c>
      <c r="I72" s="34">
        <f t="shared" si="10"/>
        <v>69975</v>
      </c>
      <c r="J72" s="34">
        <f t="shared" si="10"/>
        <v>78336</v>
      </c>
      <c r="K72" s="34">
        <f t="shared" si="10"/>
        <v>125148.00000000001</v>
      </c>
      <c r="L72" s="28"/>
    </row>
    <row r="73" spans="1:12">
      <c r="A73" s="29">
        <v>42</v>
      </c>
      <c r="B73" s="46">
        <f t="shared" ref="B73:B98" si="11">+B72+0.02</f>
        <v>1.3400000000000003</v>
      </c>
      <c r="C73" s="30">
        <v>49</v>
      </c>
      <c r="D73" s="604">
        <v>63570</v>
      </c>
      <c r="E73" s="34">
        <f t="shared" si="9"/>
        <v>63570.000000000007</v>
      </c>
      <c r="F73" s="34">
        <f t="shared" si="10"/>
        <v>65712</v>
      </c>
      <c r="G73" s="34">
        <f t="shared" si="10"/>
        <v>64640</v>
      </c>
      <c r="H73" s="34">
        <f t="shared" si="10"/>
        <v>67984</v>
      </c>
      <c r="I73" s="34">
        <f t="shared" si="10"/>
        <v>71200</v>
      </c>
      <c r="J73" s="34">
        <f t="shared" si="10"/>
        <v>79904</v>
      </c>
      <c r="K73" s="34">
        <f t="shared" si="10"/>
        <v>128872.00000000001</v>
      </c>
      <c r="L73" s="28"/>
    </row>
    <row r="74" spans="1:12">
      <c r="A74" s="29">
        <v>43</v>
      </c>
      <c r="B74" s="46">
        <f t="shared" si="11"/>
        <v>1.3600000000000003</v>
      </c>
      <c r="C74" s="30">
        <v>49</v>
      </c>
      <c r="D74" s="604">
        <v>64760</v>
      </c>
      <c r="E74" s="34">
        <f t="shared" si="9"/>
        <v>64760.000000000007</v>
      </c>
      <c r="F74" s="34">
        <f t="shared" si="10"/>
        <v>66762</v>
      </c>
      <c r="G74" s="34">
        <f t="shared" si="10"/>
        <v>65640</v>
      </c>
      <c r="H74" s="34">
        <f t="shared" si="10"/>
        <v>69084</v>
      </c>
      <c r="I74" s="34">
        <f t="shared" si="10"/>
        <v>72450</v>
      </c>
      <c r="J74" s="34">
        <f t="shared" si="10"/>
        <v>81504</v>
      </c>
      <c r="K74" s="34">
        <f t="shared" si="10"/>
        <v>132672</v>
      </c>
      <c r="L74" s="28"/>
    </row>
    <row r="75" spans="1:12">
      <c r="A75" s="29">
        <v>44</v>
      </c>
      <c r="B75" s="46">
        <f t="shared" si="11"/>
        <v>1.3800000000000003</v>
      </c>
      <c r="C75" s="30">
        <v>56</v>
      </c>
      <c r="D75" s="604">
        <v>65970</v>
      </c>
      <c r="E75" s="34">
        <f t="shared" si="9"/>
        <v>65970</v>
      </c>
      <c r="F75" s="34">
        <f t="shared" si="10"/>
        <v>67833</v>
      </c>
      <c r="G75" s="34">
        <f t="shared" si="10"/>
        <v>66660</v>
      </c>
      <c r="H75" s="34">
        <f t="shared" si="10"/>
        <v>70206</v>
      </c>
      <c r="I75" s="34">
        <f t="shared" si="10"/>
        <v>73725</v>
      </c>
      <c r="J75" s="34">
        <f t="shared" si="10"/>
        <v>83136</v>
      </c>
      <c r="K75" s="34">
        <f t="shared" si="10"/>
        <v>136548</v>
      </c>
      <c r="L75" s="28"/>
    </row>
    <row r="76" spans="1:12">
      <c r="A76" s="29">
        <v>45</v>
      </c>
      <c r="B76" s="46">
        <f t="shared" si="11"/>
        <v>1.4000000000000004</v>
      </c>
      <c r="C76" s="30">
        <v>56</v>
      </c>
      <c r="D76" s="604">
        <v>67200</v>
      </c>
      <c r="E76" s="34">
        <f t="shared" si="9"/>
        <v>67200</v>
      </c>
      <c r="F76" s="34">
        <f t="shared" si="10"/>
        <v>68925</v>
      </c>
      <c r="G76" s="34">
        <f t="shared" si="10"/>
        <v>67700</v>
      </c>
      <c r="H76" s="34">
        <f t="shared" si="10"/>
        <v>71350</v>
      </c>
      <c r="I76" s="34">
        <f t="shared" si="10"/>
        <v>75025</v>
      </c>
      <c r="J76" s="34">
        <f t="shared" si="10"/>
        <v>84800</v>
      </c>
      <c r="K76" s="34">
        <f t="shared" si="10"/>
        <v>140500.00000000003</v>
      </c>
      <c r="L76" s="28"/>
    </row>
    <row r="77" spans="1:12">
      <c r="A77" s="29">
        <v>46</v>
      </c>
      <c r="B77" s="46">
        <f t="shared" si="11"/>
        <v>1.4200000000000004</v>
      </c>
      <c r="C77" s="30">
        <v>36</v>
      </c>
      <c r="D77" s="604">
        <v>68450</v>
      </c>
      <c r="E77" s="34">
        <f t="shared" si="9"/>
        <v>68450</v>
      </c>
      <c r="F77" s="34">
        <f t="shared" si="10"/>
        <v>70038</v>
      </c>
      <c r="G77" s="34">
        <f t="shared" si="10"/>
        <v>68760</v>
      </c>
      <c r="H77" s="34">
        <f t="shared" si="10"/>
        <v>72516</v>
      </c>
      <c r="I77" s="34">
        <f t="shared" si="10"/>
        <v>76350</v>
      </c>
      <c r="J77" s="34">
        <f t="shared" si="10"/>
        <v>86496</v>
      </c>
      <c r="K77" s="34">
        <f t="shared" si="10"/>
        <v>144528.00000000003</v>
      </c>
      <c r="L77" s="28"/>
    </row>
    <row r="78" spans="1:12">
      <c r="A78" s="29">
        <v>47</v>
      </c>
      <c r="B78" s="46">
        <f t="shared" si="11"/>
        <v>1.4400000000000004</v>
      </c>
      <c r="C78" s="30">
        <v>33</v>
      </c>
      <c r="D78" s="604">
        <v>69720</v>
      </c>
      <c r="E78" s="34">
        <f t="shared" si="9"/>
        <v>69720.000000000015</v>
      </c>
      <c r="F78" s="34">
        <f t="shared" si="10"/>
        <v>71172</v>
      </c>
      <c r="G78" s="34">
        <f t="shared" si="10"/>
        <v>69840</v>
      </c>
      <c r="H78" s="34">
        <f t="shared" si="10"/>
        <v>73704</v>
      </c>
      <c r="I78" s="34">
        <f t="shared" si="10"/>
        <v>77700</v>
      </c>
      <c r="J78" s="34">
        <f t="shared" si="10"/>
        <v>88224.000000000015</v>
      </c>
      <c r="K78" s="34">
        <f t="shared" si="10"/>
        <v>148632.00000000003</v>
      </c>
      <c r="L78" s="28"/>
    </row>
    <row r="79" spans="1:12">
      <c r="A79" s="29">
        <v>48</v>
      </c>
      <c r="B79" s="46">
        <f t="shared" si="11"/>
        <v>1.4600000000000004</v>
      </c>
      <c r="C79" s="30">
        <v>27</v>
      </c>
      <c r="D79" s="604">
        <v>71010</v>
      </c>
      <c r="E79" s="34">
        <f t="shared" si="9"/>
        <v>71010.000000000015</v>
      </c>
      <c r="F79" s="34">
        <f t="shared" si="10"/>
        <v>72327</v>
      </c>
      <c r="G79" s="34">
        <f t="shared" si="10"/>
        <v>70940</v>
      </c>
      <c r="H79" s="34">
        <f t="shared" si="10"/>
        <v>74914</v>
      </c>
      <c r="I79" s="34">
        <f t="shared" si="10"/>
        <v>79075</v>
      </c>
      <c r="J79" s="34">
        <f t="shared" si="10"/>
        <v>89984.000000000015</v>
      </c>
      <c r="K79" s="34">
        <f t="shared" si="10"/>
        <v>152812.00000000003</v>
      </c>
      <c r="L79" s="28"/>
    </row>
    <row r="80" spans="1:12">
      <c r="A80" s="29">
        <v>49</v>
      </c>
      <c r="B80" s="46">
        <f t="shared" si="11"/>
        <v>1.4800000000000004</v>
      </c>
      <c r="C80" s="30">
        <v>25</v>
      </c>
      <c r="D80" s="604">
        <v>72320</v>
      </c>
      <c r="E80" s="34">
        <f t="shared" si="9"/>
        <v>72320.000000000015</v>
      </c>
      <c r="F80" s="34">
        <f t="shared" si="10"/>
        <v>73503</v>
      </c>
      <c r="G80" s="34">
        <f t="shared" si="10"/>
        <v>72060</v>
      </c>
      <c r="H80" s="34">
        <f t="shared" si="10"/>
        <v>76146.000000000015</v>
      </c>
      <c r="I80" s="34">
        <f t="shared" si="10"/>
        <v>80475</v>
      </c>
      <c r="J80" s="34">
        <f t="shared" si="10"/>
        <v>91776.000000000015</v>
      </c>
      <c r="K80" s="34">
        <f t="shared" si="10"/>
        <v>157068.00000000003</v>
      </c>
      <c r="L80" s="28"/>
    </row>
    <row r="81" spans="1:12">
      <c r="A81" s="29">
        <v>50</v>
      </c>
      <c r="B81" s="46">
        <f t="shared" si="11"/>
        <v>1.5000000000000004</v>
      </c>
      <c r="C81" s="30">
        <v>25</v>
      </c>
      <c r="D81" s="604">
        <v>73650</v>
      </c>
      <c r="E81" s="34">
        <f t="shared" si="9"/>
        <v>73650.000000000015</v>
      </c>
      <c r="F81" s="34">
        <f t="shared" si="10"/>
        <v>74700.000000000015</v>
      </c>
      <c r="G81" s="34">
        <f t="shared" si="10"/>
        <v>73200</v>
      </c>
      <c r="H81" s="34">
        <f t="shared" si="10"/>
        <v>77400</v>
      </c>
      <c r="I81" s="34">
        <f t="shared" si="10"/>
        <v>81900.000000000015</v>
      </c>
      <c r="J81" s="34">
        <f t="shared" si="10"/>
        <v>93600.000000000015</v>
      </c>
      <c r="K81" s="34">
        <f t="shared" si="10"/>
        <v>161400.00000000003</v>
      </c>
      <c r="L81" s="28"/>
    </row>
    <row r="82" spans="1:12">
      <c r="A82" s="29">
        <v>51</v>
      </c>
      <c r="B82" s="46">
        <f t="shared" si="11"/>
        <v>1.5200000000000005</v>
      </c>
      <c r="C82" s="30">
        <v>22</v>
      </c>
      <c r="D82" s="604">
        <v>75000</v>
      </c>
      <c r="E82" s="34">
        <f t="shared" si="9"/>
        <v>75000.000000000015</v>
      </c>
      <c r="F82" s="34">
        <f t="shared" ref="F82:K91" si="12">IF(F$3+(F$5*10+($A82-10)*F$6)*$B82&lt;F$4,F$4+F$7,F$3+(F$5*10+($A82-10)*F$6)*$B82+F$7)</f>
        <v>75918.000000000015</v>
      </c>
      <c r="G82" s="34">
        <f t="shared" si="12"/>
        <v>74360.000000000015</v>
      </c>
      <c r="H82" s="34">
        <f t="shared" si="12"/>
        <v>78676</v>
      </c>
      <c r="I82" s="34">
        <f t="shared" si="12"/>
        <v>83350.000000000015</v>
      </c>
      <c r="J82" s="34">
        <f t="shared" si="12"/>
        <v>95456.000000000015</v>
      </c>
      <c r="K82" s="34">
        <f t="shared" si="12"/>
        <v>165808.00000000003</v>
      </c>
      <c r="L82" s="28"/>
    </row>
    <row r="83" spans="1:12">
      <c r="A83" s="29">
        <v>52</v>
      </c>
      <c r="B83" s="46">
        <f t="shared" si="11"/>
        <v>1.5400000000000005</v>
      </c>
      <c r="C83" s="30">
        <v>15</v>
      </c>
      <c r="D83" s="604">
        <v>76370</v>
      </c>
      <c r="E83" s="34">
        <f t="shared" si="9"/>
        <v>76370.000000000015</v>
      </c>
      <c r="F83" s="34">
        <f t="shared" si="12"/>
        <v>77157</v>
      </c>
      <c r="G83" s="34">
        <f t="shared" si="12"/>
        <v>75540.000000000015</v>
      </c>
      <c r="H83" s="34">
        <f t="shared" si="12"/>
        <v>79974.000000000015</v>
      </c>
      <c r="I83" s="34">
        <f t="shared" si="12"/>
        <v>84825.000000000015</v>
      </c>
      <c r="J83" s="34">
        <f t="shared" si="12"/>
        <v>97344.000000000015</v>
      </c>
      <c r="K83" s="34">
        <f t="shared" si="12"/>
        <v>170292.00000000006</v>
      </c>
      <c r="L83" s="28"/>
    </row>
    <row r="84" spans="1:12">
      <c r="A84" s="29">
        <v>53</v>
      </c>
      <c r="B84" s="46">
        <f t="shared" si="11"/>
        <v>1.5600000000000005</v>
      </c>
      <c r="C84" s="30">
        <v>12</v>
      </c>
      <c r="D84" s="604">
        <v>77760</v>
      </c>
      <c r="E84" s="34">
        <f t="shared" si="9"/>
        <v>77760.000000000015</v>
      </c>
      <c r="F84" s="34">
        <f t="shared" si="12"/>
        <v>78417.000000000015</v>
      </c>
      <c r="G84" s="34">
        <f t="shared" si="12"/>
        <v>76740</v>
      </c>
      <c r="H84" s="34">
        <f t="shared" si="12"/>
        <v>81294.000000000015</v>
      </c>
      <c r="I84" s="34">
        <f t="shared" si="12"/>
        <v>86325.000000000015</v>
      </c>
      <c r="J84" s="34">
        <f t="shared" si="12"/>
        <v>99264.000000000015</v>
      </c>
      <c r="K84" s="34">
        <f t="shared" si="12"/>
        <v>174852.00000000006</v>
      </c>
      <c r="L84" s="28"/>
    </row>
    <row r="85" spans="1:12">
      <c r="A85" s="29">
        <v>54</v>
      </c>
      <c r="B85" s="46">
        <f t="shared" si="11"/>
        <v>1.5800000000000005</v>
      </c>
      <c r="C85" s="30">
        <v>14</v>
      </c>
      <c r="D85" s="604">
        <v>79170</v>
      </c>
      <c r="E85" s="34">
        <f t="shared" si="9"/>
        <v>79170.000000000015</v>
      </c>
      <c r="F85" s="34">
        <f t="shared" si="12"/>
        <v>79698.000000000015</v>
      </c>
      <c r="G85" s="34">
        <f t="shared" si="12"/>
        <v>77960.000000000015</v>
      </c>
      <c r="H85" s="34">
        <f t="shared" si="12"/>
        <v>82636.000000000015</v>
      </c>
      <c r="I85" s="34">
        <f t="shared" si="12"/>
        <v>87850.000000000015</v>
      </c>
      <c r="J85" s="34">
        <f t="shared" si="12"/>
        <v>101216.00000000001</v>
      </c>
      <c r="K85" s="34">
        <f t="shared" si="12"/>
        <v>179488.00000000003</v>
      </c>
      <c r="L85" s="28"/>
    </row>
    <row r="86" spans="1:12">
      <c r="A86" s="29">
        <v>55</v>
      </c>
      <c r="B86" s="46">
        <f t="shared" si="11"/>
        <v>1.6000000000000005</v>
      </c>
      <c r="C86" s="30">
        <v>5</v>
      </c>
      <c r="D86" s="604">
        <v>80600</v>
      </c>
      <c r="E86" s="34">
        <f t="shared" si="9"/>
        <v>80600.000000000015</v>
      </c>
      <c r="F86" s="34">
        <f t="shared" si="12"/>
        <v>81000.000000000015</v>
      </c>
      <c r="G86" s="34">
        <f t="shared" si="12"/>
        <v>79200.000000000015</v>
      </c>
      <c r="H86" s="34">
        <f t="shared" si="12"/>
        <v>84000.000000000015</v>
      </c>
      <c r="I86" s="34">
        <f t="shared" si="12"/>
        <v>89400.000000000015</v>
      </c>
      <c r="J86" s="34">
        <f t="shared" si="12"/>
        <v>103200.00000000003</v>
      </c>
      <c r="K86" s="34">
        <f t="shared" si="12"/>
        <v>184200.00000000006</v>
      </c>
      <c r="L86" s="28"/>
    </row>
    <row r="87" spans="1:12">
      <c r="A87" s="29">
        <v>56</v>
      </c>
      <c r="B87" s="46">
        <f t="shared" si="11"/>
        <v>1.6200000000000006</v>
      </c>
      <c r="C87" s="30">
        <v>12</v>
      </c>
      <c r="D87" s="604">
        <v>82050</v>
      </c>
      <c r="E87" s="34">
        <f t="shared" si="9"/>
        <v>82050.000000000015</v>
      </c>
      <c r="F87" s="34">
        <f t="shared" si="12"/>
        <v>82323.000000000015</v>
      </c>
      <c r="G87" s="34">
        <f t="shared" si="12"/>
        <v>80460.000000000015</v>
      </c>
      <c r="H87" s="34">
        <f t="shared" si="12"/>
        <v>85386.000000000015</v>
      </c>
      <c r="I87" s="34">
        <f t="shared" si="12"/>
        <v>90975.000000000015</v>
      </c>
      <c r="J87" s="34">
        <f t="shared" si="12"/>
        <v>105216.00000000003</v>
      </c>
      <c r="K87" s="34">
        <f t="shared" si="12"/>
        <v>188988.00000000006</v>
      </c>
      <c r="L87" s="28"/>
    </row>
    <row r="88" spans="1:12">
      <c r="A88" s="29">
        <v>57</v>
      </c>
      <c r="B88" s="46">
        <f t="shared" si="11"/>
        <v>1.6400000000000006</v>
      </c>
      <c r="C88" s="30">
        <v>5</v>
      </c>
      <c r="D88" s="604">
        <v>83520</v>
      </c>
      <c r="E88" s="34">
        <f t="shared" si="9"/>
        <v>83520.000000000029</v>
      </c>
      <c r="F88" s="34">
        <f t="shared" si="12"/>
        <v>83667.000000000015</v>
      </c>
      <c r="G88" s="34">
        <f t="shared" si="12"/>
        <v>81740.000000000015</v>
      </c>
      <c r="H88" s="34">
        <f t="shared" si="12"/>
        <v>86794.000000000015</v>
      </c>
      <c r="I88" s="34">
        <f t="shared" si="12"/>
        <v>92575.000000000015</v>
      </c>
      <c r="J88" s="34">
        <f t="shared" si="12"/>
        <v>107264.00000000003</v>
      </c>
      <c r="K88" s="34">
        <f t="shared" si="12"/>
        <v>193852.00000000006</v>
      </c>
      <c r="L88" s="28"/>
    </row>
    <row r="89" spans="1:12">
      <c r="A89" s="29">
        <v>58</v>
      </c>
      <c r="B89" s="46">
        <f t="shared" si="11"/>
        <v>1.6600000000000006</v>
      </c>
      <c r="C89" s="30">
        <v>7</v>
      </c>
      <c r="D89" s="604">
        <v>85010</v>
      </c>
      <c r="E89" s="34">
        <f t="shared" si="9"/>
        <v>85010.000000000029</v>
      </c>
      <c r="F89" s="34">
        <f t="shared" si="12"/>
        <v>85032.000000000015</v>
      </c>
      <c r="G89" s="34">
        <f t="shared" si="12"/>
        <v>83040.000000000015</v>
      </c>
      <c r="H89" s="34">
        <f t="shared" si="12"/>
        <v>88224.000000000015</v>
      </c>
      <c r="I89" s="34">
        <f t="shared" si="12"/>
        <v>94200.000000000015</v>
      </c>
      <c r="J89" s="34">
        <f t="shared" si="12"/>
        <v>109344.00000000003</v>
      </c>
      <c r="K89" s="34">
        <f t="shared" si="12"/>
        <v>198792.00000000006</v>
      </c>
      <c r="L89" s="28"/>
    </row>
    <row r="90" spans="1:12">
      <c r="A90" s="29">
        <v>59</v>
      </c>
      <c r="B90" s="46">
        <f t="shared" si="11"/>
        <v>1.6800000000000006</v>
      </c>
      <c r="C90" s="30">
        <v>4</v>
      </c>
      <c r="D90" s="604">
        <v>86520</v>
      </c>
      <c r="E90" s="34">
        <f t="shared" si="9"/>
        <v>86520.000000000029</v>
      </c>
      <c r="F90" s="34">
        <f t="shared" si="12"/>
        <v>86418.000000000015</v>
      </c>
      <c r="G90" s="34">
        <f t="shared" si="12"/>
        <v>84360.000000000015</v>
      </c>
      <c r="H90" s="34">
        <f t="shared" si="12"/>
        <v>89676.000000000015</v>
      </c>
      <c r="I90" s="34">
        <f t="shared" si="12"/>
        <v>95850.000000000029</v>
      </c>
      <c r="J90" s="34">
        <f t="shared" si="12"/>
        <v>111456.00000000003</v>
      </c>
      <c r="K90" s="34">
        <f t="shared" si="12"/>
        <v>203808.00000000006</v>
      </c>
      <c r="L90" s="28"/>
    </row>
    <row r="91" spans="1:12">
      <c r="A91" s="29">
        <v>60</v>
      </c>
      <c r="B91" s="46">
        <f t="shared" si="11"/>
        <v>1.7000000000000006</v>
      </c>
      <c r="C91" s="30">
        <v>4</v>
      </c>
      <c r="D91" s="604">
        <v>88050</v>
      </c>
      <c r="E91" s="34">
        <f t="shared" si="9"/>
        <v>88050.000000000029</v>
      </c>
      <c r="F91" s="34">
        <f t="shared" si="12"/>
        <v>87825.000000000015</v>
      </c>
      <c r="G91" s="34">
        <f t="shared" si="12"/>
        <v>85700.000000000015</v>
      </c>
      <c r="H91" s="34">
        <f t="shared" si="12"/>
        <v>91150.000000000015</v>
      </c>
      <c r="I91" s="34">
        <f t="shared" si="12"/>
        <v>97525.000000000029</v>
      </c>
      <c r="J91" s="34">
        <f t="shared" si="12"/>
        <v>113600.00000000003</v>
      </c>
      <c r="K91" s="34">
        <f t="shared" si="12"/>
        <v>208900.00000000006</v>
      </c>
      <c r="L91" s="28"/>
    </row>
    <row r="92" spans="1:12">
      <c r="A92" s="29">
        <v>61</v>
      </c>
      <c r="B92" s="46">
        <f t="shared" si="11"/>
        <v>1.7200000000000006</v>
      </c>
      <c r="C92" s="30">
        <v>3</v>
      </c>
      <c r="D92" s="604">
        <v>89600</v>
      </c>
      <c r="E92" s="34">
        <f t="shared" si="9"/>
        <v>89600.000000000029</v>
      </c>
      <c r="F92" s="34">
        <f t="shared" ref="F92:K97" si="13">IF(F$3+(F$5*10+($A92-10)*F$6)*$B92&lt;F$4,F$4+F$7,F$3+(F$5*10+($A92-10)*F$6)*$B92+F$7)</f>
        <v>89253.000000000015</v>
      </c>
      <c r="G92" s="34">
        <f t="shared" si="13"/>
        <v>87060.000000000015</v>
      </c>
      <c r="H92" s="34">
        <f t="shared" si="13"/>
        <v>92646.000000000015</v>
      </c>
      <c r="I92" s="34">
        <f t="shared" si="13"/>
        <v>99225.000000000029</v>
      </c>
      <c r="J92" s="34">
        <f t="shared" si="13"/>
        <v>115776.00000000003</v>
      </c>
      <c r="K92" s="34">
        <f t="shared" si="13"/>
        <v>214068.00000000006</v>
      </c>
      <c r="L92" s="28"/>
    </row>
    <row r="93" spans="1:12">
      <c r="A93" s="29">
        <v>62</v>
      </c>
      <c r="B93" s="46">
        <f t="shared" si="11"/>
        <v>1.7400000000000007</v>
      </c>
      <c r="C93" s="30">
        <v>2</v>
      </c>
      <c r="D93" s="604">
        <v>91170</v>
      </c>
      <c r="E93" s="34">
        <f t="shared" si="9"/>
        <v>91170.000000000029</v>
      </c>
      <c r="F93" s="34">
        <f t="shared" si="13"/>
        <v>90702.000000000015</v>
      </c>
      <c r="G93" s="34">
        <f t="shared" si="13"/>
        <v>88440.000000000015</v>
      </c>
      <c r="H93" s="34">
        <f t="shared" si="13"/>
        <v>94164.000000000029</v>
      </c>
      <c r="I93" s="34">
        <f t="shared" si="13"/>
        <v>100950.00000000003</v>
      </c>
      <c r="J93" s="34">
        <f t="shared" si="13"/>
        <v>117984.00000000003</v>
      </c>
      <c r="K93" s="34">
        <f t="shared" si="13"/>
        <v>219312.00000000006</v>
      </c>
      <c r="L93" s="28"/>
    </row>
    <row r="94" spans="1:12">
      <c r="A94" s="29">
        <v>63</v>
      </c>
      <c r="B94" s="46">
        <f t="shared" si="11"/>
        <v>1.7600000000000007</v>
      </c>
      <c r="C94" s="30">
        <v>3</v>
      </c>
      <c r="D94" s="604">
        <v>92760</v>
      </c>
      <c r="E94" s="34">
        <f t="shared" si="9"/>
        <v>92760.000000000029</v>
      </c>
      <c r="F94" s="34">
        <f t="shared" si="13"/>
        <v>92172.000000000029</v>
      </c>
      <c r="G94" s="34">
        <f t="shared" si="13"/>
        <v>89840.000000000015</v>
      </c>
      <c r="H94" s="34">
        <f t="shared" si="13"/>
        <v>95704.000000000029</v>
      </c>
      <c r="I94" s="34">
        <f t="shared" si="13"/>
        <v>102700.00000000003</v>
      </c>
      <c r="J94" s="34">
        <f t="shared" si="13"/>
        <v>120224.00000000003</v>
      </c>
      <c r="K94" s="34">
        <f t="shared" si="13"/>
        <v>224632.00000000006</v>
      </c>
      <c r="L94" s="28"/>
    </row>
    <row r="95" spans="1:12">
      <c r="A95" s="29">
        <v>64</v>
      </c>
      <c r="B95" s="46">
        <f t="shared" si="11"/>
        <v>1.7800000000000007</v>
      </c>
      <c r="C95" s="30">
        <v>3</v>
      </c>
      <c r="D95" s="604">
        <v>94370</v>
      </c>
      <c r="E95" s="34">
        <f t="shared" si="9"/>
        <v>94370.000000000029</v>
      </c>
      <c r="F95" s="34">
        <f t="shared" si="13"/>
        <v>93663.000000000029</v>
      </c>
      <c r="G95" s="34">
        <f t="shared" si="13"/>
        <v>91260.000000000029</v>
      </c>
      <c r="H95" s="34">
        <f t="shared" si="13"/>
        <v>97266.000000000029</v>
      </c>
      <c r="I95" s="34">
        <f t="shared" si="13"/>
        <v>104475.00000000003</v>
      </c>
      <c r="J95" s="34">
        <f t="shared" si="13"/>
        <v>122496.00000000003</v>
      </c>
      <c r="K95" s="34">
        <f t="shared" si="13"/>
        <v>230028.00000000006</v>
      </c>
      <c r="L95" s="28"/>
    </row>
    <row r="96" spans="1:12">
      <c r="A96" s="29">
        <v>65</v>
      </c>
      <c r="B96" s="46">
        <f t="shared" si="11"/>
        <v>1.8000000000000007</v>
      </c>
      <c r="C96" s="30">
        <v>2</v>
      </c>
      <c r="D96" s="604">
        <v>96000</v>
      </c>
      <c r="E96" s="34">
        <f>IF(E$3+(E$5*10+($A96-10)*E$6)*$B96+E$7&lt;$D96,$D96,E$3+(E$5*10+($A96-10)*E$6)*$B96+E$7)</f>
        <v>96000.000000000029</v>
      </c>
      <c r="F96" s="34">
        <f t="shared" si="13"/>
        <v>95175.000000000029</v>
      </c>
      <c r="G96" s="34">
        <f t="shared" si="13"/>
        <v>92700.000000000029</v>
      </c>
      <c r="H96" s="34">
        <f t="shared" si="13"/>
        <v>98850.000000000029</v>
      </c>
      <c r="I96" s="34">
        <f t="shared" si="13"/>
        <v>106275.00000000003</v>
      </c>
      <c r="J96" s="34">
        <f t="shared" si="13"/>
        <v>124800.00000000003</v>
      </c>
      <c r="K96" s="34">
        <f t="shared" si="13"/>
        <v>235500.00000000009</v>
      </c>
      <c r="L96" s="28"/>
    </row>
    <row r="97" spans="1:12">
      <c r="A97" s="29">
        <v>66</v>
      </c>
      <c r="B97" s="46">
        <f t="shared" si="11"/>
        <v>1.8200000000000007</v>
      </c>
      <c r="C97" s="30">
        <v>3</v>
      </c>
      <c r="D97" s="604">
        <v>97650</v>
      </c>
      <c r="E97" s="34">
        <f>IF(E$3+(E$5*10+($A97-10)*E$6)*$B97+E$7&lt;$D97,$D97,E$3+(E$5*10+($A97-10)*E$6)*$B97+E$7)</f>
        <v>97650.000000000029</v>
      </c>
      <c r="F97" s="34">
        <f t="shared" si="13"/>
        <v>96708.000000000029</v>
      </c>
      <c r="G97" s="34">
        <f t="shared" si="13"/>
        <v>94160.000000000029</v>
      </c>
      <c r="H97" s="34">
        <f t="shared" si="13"/>
        <v>100456.00000000003</v>
      </c>
      <c r="I97" s="34">
        <f t="shared" si="13"/>
        <v>108100.00000000003</v>
      </c>
      <c r="J97" s="34">
        <f t="shared" si="13"/>
        <v>127136.00000000003</v>
      </c>
      <c r="K97" s="34">
        <f t="shared" si="13"/>
        <v>241048.00000000009</v>
      </c>
      <c r="L97" s="28"/>
    </row>
    <row r="98" spans="1:12">
      <c r="A98" s="29">
        <v>67</v>
      </c>
      <c r="B98" s="46">
        <f t="shared" si="11"/>
        <v>1.8400000000000007</v>
      </c>
      <c r="C98" s="30">
        <v>1</v>
      </c>
      <c r="D98" s="604">
        <v>99320</v>
      </c>
      <c r="E98" s="34"/>
      <c r="F98" s="34"/>
      <c r="G98" s="34"/>
      <c r="H98" s="34"/>
      <c r="I98" s="34"/>
      <c r="J98" s="34"/>
      <c r="K98" s="34"/>
      <c r="L98" s="28"/>
    </row>
    <row r="99" spans="1:12">
      <c r="A99" s="29">
        <v>72</v>
      </c>
      <c r="B99" s="46">
        <v>1.94</v>
      </c>
      <c r="C99" s="30">
        <v>1</v>
      </c>
      <c r="D99" s="604">
        <v>107970</v>
      </c>
      <c r="E99" s="34">
        <f>IF(E$3+(E$5*10+($A99-10)*E$6)*$B99+E$7&lt;$D99,$D99,E$3+(E$5*10+($A99-10)*E$6)*$B99+E$7)</f>
        <v>107970</v>
      </c>
      <c r="F99" s="34">
        <f t="shared" ref="F99:K99" si="14">IF(F$3+(F$5*10+($A99-10)*F$6)*$B99&lt;F$4,F$4+F$7,F$3+(F$5*10+($A99-10)*F$6)*$B99+F$7)</f>
        <v>106347</v>
      </c>
      <c r="G99" s="34">
        <f t="shared" si="14"/>
        <v>103340</v>
      </c>
      <c r="H99" s="34">
        <f t="shared" si="14"/>
        <v>110554</v>
      </c>
      <c r="I99" s="34">
        <f t="shared" si="14"/>
        <v>119575</v>
      </c>
      <c r="J99" s="34">
        <f t="shared" si="14"/>
        <v>141824</v>
      </c>
      <c r="K99" s="34">
        <f t="shared" si="14"/>
        <v>275932</v>
      </c>
      <c r="L99" s="28"/>
    </row>
    <row r="100" spans="1:12">
      <c r="A100" s="29">
        <v>106</v>
      </c>
      <c r="B100" s="29">
        <v>2</v>
      </c>
      <c r="C100" s="30">
        <v>1</v>
      </c>
      <c r="D100" s="604">
        <v>144400</v>
      </c>
      <c r="E100" s="34">
        <f>IF(E$3+(E$5*10+($A100-10)*E$6)*$B100+E$7&lt;$D100,$D100,E$3+(E$5*10+($A100-10)*E$6)*$B100+E$7)</f>
        <v>144400</v>
      </c>
      <c r="F100" s="34">
        <f t="shared" ref="F100:K101" si="15">IF(F$3+(F$5*10+($A100-10)*F$6)*$B100+F$7&lt;$D100,$D100,F$3+(F$5*10+($A100-10)*F$6)*$B100+F$7)</f>
        <v>144400</v>
      </c>
      <c r="G100" s="34">
        <f t="shared" si="15"/>
        <v>144400</v>
      </c>
      <c r="H100" s="34">
        <f t="shared" si="15"/>
        <v>150000</v>
      </c>
      <c r="I100" s="34">
        <f t="shared" si="15"/>
        <v>164400</v>
      </c>
      <c r="J100" s="34">
        <f t="shared" si="15"/>
        <v>199200</v>
      </c>
      <c r="K100" s="34">
        <f t="shared" si="15"/>
        <v>412200</v>
      </c>
      <c r="L100" s="28"/>
    </row>
    <row r="101" spans="1:12">
      <c r="A101" s="29">
        <v>128</v>
      </c>
      <c r="B101" s="29">
        <v>2</v>
      </c>
      <c r="C101" s="30">
        <v>1</v>
      </c>
      <c r="D101" s="604">
        <v>191856</v>
      </c>
      <c r="E101" s="34">
        <f>IF(E$3+(E$5*10+($A101-10)*E$6)*$B101+E$7&lt;$D101,$D101,E$3+(E$5*10+($A101-10)*E$6)*$B101+E$7)</f>
        <v>191856</v>
      </c>
      <c r="F101" s="34">
        <f t="shared" si="15"/>
        <v>191856</v>
      </c>
      <c r="G101" s="34">
        <f t="shared" si="15"/>
        <v>191856</v>
      </c>
      <c r="H101" s="34">
        <f t="shared" si="15"/>
        <v>191856</v>
      </c>
      <c r="I101" s="34">
        <f t="shared" si="15"/>
        <v>191900</v>
      </c>
      <c r="J101" s="34">
        <f t="shared" si="15"/>
        <v>234400</v>
      </c>
      <c r="K101" s="34">
        <f t="shared" si="15"/>
        <v>495800</v>
      </c>
      <c r="L101" s="28"/>
    </row>
    <row r="102" spans="1:12">
      <c r="C102" s="30">
        <f>SUM(C31:C101)</f>
        <v>4289</v>
      </c>
      <c r="D102" s="34"/>
      <c r="L102" s="28"/>
    </row>
    <row r="103" spans="1:12">
      <c r="C103" s="39">
        <f>SUM(C31:C101)</f>
        <v>4289</v>
      </c>
      <c r="D103" s="39">
        <v>46035.491396209974</v>
      </c>
      <c r="E103" s="39">
        <f t="shared" ref="E103:K103" si="16">+SUMPRODUCT(E31:E101,$C$31:$C$101)/$C$103</f>
        <v>50215.790627185823</v>
      </c>
      <c r="F103" s="39">
        <f t="shared" si="16"/>
        <v>53345.618325950105</v>
      </c>
      <c r="G103" s="39">
        <f t="shared" si="16"/>
        <v>52864.78806248543</v>
      </c>
      <c r="H103" s="39">
        <f t="shared" si="16"/>
        <v>55026.914898577757</v>
      </c>
      <c r="I103" s="39">
        <f t="shared" si="16"/>
        <v>56472.773373746793</v>
      </c>
      <c r="J103" s="39">
        <f t="shared" si="16"/>
        <v>61055.768710655168</v>
      </c>
      <c r="K103" s="208">
        <f t="shared" si="16"/>
        <v>84121.64980181861</v>
      </c>
    </row>
    <row r="104" spans="1:12">
      <c r="B104" s="23"/>
      <c r="D104" s="23"/>
    </row>
    <row r="105" spans="1:12">
      <c r="C105" s="47"/>
      <c r="D105" s="47"/>
    </row>
  </sheetData>
  <mergeCells count="1">
    <mergeCell ref="C29:D29"/>
  </mergeCells>
  <conditionalFormatting sqref="L22:L26">
    <cfRule type="colorScale" priority="18">
      <colorScale>
        <cfvo type="min"/>
        <cfvo type="max"/>
        <color rgb="FFFFEF9C"/>
        <color rgb="FF63BE7B"/>
      </colorScale>
    </cfRule>
  </conditionalFormatting>
  <conditionalFormatting sqref="L22:L26">
    <cfRule type="colorScale" priority="16">
      <colorScale>
        <cfvo type="min"/>
        <cfvo type="max"/>
        <color rgb="FFFFEF9C"/>
        <color rgb="FF63BE7B"/>
      </colorScale>
    </cfRule>
  </conditionalFormatting>
  <conditionalFormatting sqref="G22:H26">
    <cfRule type="colorScale" priority="10">
      <colorScale>
        <cfvo type="min"/>
        <cfvo type="percentile" val="50"/>
        <cfvo type="max"/>
        <color rgb="FFF8696B"/>
        <color rgb="FFFFEB84"/>
        <color rgb="FF63BE7B"/>
      </colorScale>
    </cfRule>
  </conditionalFormatting>
  <conditionalFormatting sqref="I22:J26">
    <cfRule type="colorScale" priority="8">
      <colorScale>
        <cfvo type="min"/>
        <cfvo type="percentile" val="50"/>
        <cfvo type="max"/>
        <color rgb="FFF8696B"/>
        <color rgb="FFFFEB84"/>
        <color rgb="FF63BE7B"/>
      </colorScale>
    </cfRule>
  </conditionalFormatting>
  <conditionalFormatting sqref="K22:K26">
    <cfRule type="colorScale" priority="6">
      <colorScale>
        <cfvo type="min"/>
        <cfvo type="max"/>
        <color rgb="FFFFEF9C"/>
        <color rgb="FF63BE7B"/>
      </colorScale>
    </cfRule>
  </conditionalFormatting>
  <conditionalFormatting sqref="G14:H18">
    <cfRule type="colorScale" priority="5">
      <colorScale>
        <cfvo type="min"/>
        <cfvo type="percentile" val="50"/>
        <cfvo type="max"/>
        <color rgb="FFF8696B"/>
        <color rgb="FFFFEB84"/>
        <color rgb="FF63BE7B"/>
      </colorScale>
    </cfRule>
  </conditionalFormatting>
  <conditionalFormatting sqref="I14:K18">
    <cfRule type="colorScale" priority="1">
      <colorScale>
        <cfvo type="min"/>
        <cfvo type="percentile" val="50"/>
        <cfvo type="max"/>
        <color rgb="FFF8696B"/>
        <color rgb="FFFFEB84"/>
        <color rgb="FF63BE7B"/>
      </colorScale>
    </cfRule>
  </conditionalFormatting>
  <pageMargins left="0" right="0" top="0" bottom="0" header="0.31496062992126" footer="0.31496062992126"/>
  <pageSetup paperSize="9" scale="7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3"/>
  <sheetViews>
    <sheetView workbookViewId="0">
      <selection activeCell="K8" sqref="K8"/>
    </sheetView>
  </sheetViews>
  <sheetFormatPr defaultColWidth="8.85546875" defaultRowHeight="17.25" outlineLevelRow="1"/>
  <cols>
    <col min="1" max="1" width="7.42578125" style="23" customWidth="1"/>
    <col min="2" max="2" width="9.140625" style="47" customWidth="1"/>
    <col min="3" max="3" width="15.28515625" style="23" bestFit="1" customWidth="1"/>
    <col min="4" max="4" width="16.28515625" style="24" bestFit="1" customWidth="1"/>
    <col min="5" max="5" width="19.42578125" style="23" bestFit="1" customWidth="1"/>
    <col min="6" max="6" width="19.42578125" style="23" customWidth="1"/>
    <col min="7" max="7" width="13.85546875" style="23" bestFit="1" customWidth="1"/>
    <col min="8" max="8" width="13.85546875" style="23" customWidth="1"/>
    <col min="9" max="9" width="14.7109375" style="23" bestFit="1" customWidth="1"/>
    <col min="10" max="10" width="14.7109375" style="23" customWidth="1"/>
    <col min="11" max="11" width="14.42578125" style="23" bestFit="1" customWidth="1"/>
    <col min="12" max="12" width="14" style="23" customWidth="1"/>
    <col min="13" max="16384" width="8.85546875" style="23"/>
  </cols>
  <sheetData>
    <row r="1" spans="1:11">
      <c r="A1" s="23" t="s">
        <v>184</v>
      </c>
      <c r="E1" s="363">
        <f>+ընդհանուր!F6</f>
        <v>6</v>
      </c>
      <c r="F1" s="363">
        <f>+ընդհանուր!G6</f>
        <v>6</v>
      </c>
      <c r="G1" s="363">
        <f>+ընդհանուր!H6</f>
        <v>6</v>
      </c>
      <c r="H1" s="363">
        <f>+ընդհանուր!I6</f>
        <v>6</v>
      </c>
      <c r="I1" s="363">
        <f>+ընդհանուր!J6</f>
        <v>6</v>
      </c>
      <c r="J1" s="363">
        <f>+ընդհանուր!K6</f>
        <v>6</v>
      </c>
      <c r="K1" s="363"/>
    </row>
    <row r="2" spans="1:11" ht="34.5">
      <c r="C2" s="26"/>
      <c r="D2" s="26"/>
      <c r="E2" s="354" t="s">
        <v>217</v>
      </c>
      <c r="F2" s="354" t="s">
        <v>218</v>
      </c>
      <c r="G2" s="354" t="s">
        <v>219</v>
      </c>
      <c r="H2" s="354" t="s">
        <v>220</v>
      </c>
      <c r="I2" s="354" t="s">
        <v>221</v>
      </c>
      <c r="J2" s="354" t="s">
        <v>222</v>
      </c>
      <c r="K2" s="223">
        <v>2026</v>
      </c>
    </row>
    <row r="3" spans="1:11">
      <c r="C3" s="26" t="s">
        <v>22</v>
      </c>
      <c r="D3" s="26"/>
      <c r="E3" s="41">
        <f>+ընդհանուր!E10</f>
        <v>21000</v>
      </c>
      <c r="F3" s="41">
        <f>+ընդհանուր!F10</f>
        <v>36000</v>
      </c>
      <c r="G3" s="41">
        <f>+ընդհանուր!G10</f>
        <v>36000</v>
      </c>
      <c r="H3" s="41">
        <f>+ընդհանուր!H10</f>
        <v>37000</v>
      </c>
      <c r="I3" s="41">
        <f>+ընդհանուր!I10</f>
        <v>37000</v>
      </c>
      <c r="J3" s="41">
        <f>+ընդհանուր!J10</f>
        <v>38000</v>
      </c>
      <c r="K3" s="41">
        <f>+ընդհանուր!K10</f>
        <v>39500</v>
      </c>
    </row>
    <row r="4" spans="1:11">
      <c r="C4" s="26" t="s">
        <v>23</v>
      </c>
      <c r="D4" s="26"/>
      <c r="E4" s="41">
        <f>+ընդհանուր!E11</f>
        <v>31600</v>
      </c>
      <c r="F4" s="41">
        <f>+ընդհանուր!F11</f>
        <v>0</v>
      </c>
      <c r="G4" s="41">
        <f>+ընդհանուր!G11</f>
        <v>0</v>
      </c>
      <c r="H4" s="41">
        <f>+ընդհանուր!H11</f>
        <v>0</v>
      </c>
      <c r="I4" s="41">
        <f>+ընդհանուր!I11</f>
        <v>0</v>
      </c>
      <c r="J4" s="41">
        <f>+ընդհանուր!J11</f>
        <v>0</v>
      </c>
      <c r="K4" s="41">
        <f>+ընդհանուր!K11</f>
        <v>0</v>
      </c>
    </row>
    <row r="5" spans="1:11">
      <c r="C5" s="26" t="s">
        <v>24</v>
      </c>
      <c r="D5" s="26"/>
      <c r="E5" s="41">
        <f>+ընդհանուր!E16</f>
        <v>950</v>
      </c>
      <c r="F5" s="41">
        <f>+ընդհանուր!F16</f>
        <v>0</v>
      </c>
      <c r="G5" s="41">
        <f>+ընդհանուր!G16</f>
        <v>0</v>
      </c>
      <c r="H5" s="41">
        <f>+ընդհանուր!H16</f>
        <v>0</v>
      </c>
      <c r="I5" s="41">
        <f>+ընդհանուր!I16</f>
        <v>0</v>
      </c>
      <c r="J5" s="41">
        <f>+ընդհանուր!J16</f>
        <v>0</v>
      </c>
      <c r="K5" s="41">
        <f>+ընդհանուր!K16</f>
        <v>0</v>
      </c>
    </row>
    <row r="6" spans="1:11">
      <c r="C6" s="26" t="s">
        <v>25</v>
      </c>
      <c r="D6" s="26"/>
      <c r="E6" s="41">
        <f>+ընդհանուր!E17</f>
        <v>500</v>
      </c>
      <c r="F6" s="41">
        <f>+ընդհանուր!F17</f>
        <v>525</v>
      </c>
      <c r="G6" s="41">
        <f>+ընդհանուր!G17</f>
        <v>500</v>
      </c>
      <c r="H6" s="41">
        <f>+ընդհանուր!H17</f>
        <v>550</v>
      </c>
      <c r="I6" s="41">
        <f>+ընդհանուր!I17</f>
        <v>625</v>
      </c>
      <c r="J6" s="41">
        <f>+ընդհանուր!J17</f>
        <v>800</v>
      </c>
      <c r="K6" s="41">
        <f>+ընդհանուր!K17</f>
        <v>1900</v>
      </c>
    </row>
    <row r="7" spans="1:11">
      <c r="C7" s="26" t="s">
        <v>37</v>
      </c>
      <c r="D7" s="26"/>
      <c r="E7" s="41">
        <f>+E3*0.2</f>
        <v>4200</v>
      </c>
      <c r="F7" s="41">
        <f>+F3*0.1</f>
        <v>3600</v>
      </c>
      <c r="G7" s="41">
        <f>+G3*0.1</f>
        <v>3600</v>
      </c>
      <c r="H7" s="41">
        <f t="shared" ref="H7:K7" si="0">+H3*0.1</f>
        <v>3700</v>
      </c>
      <c r="I7" s="41">
        <f t="shared" si="0"/>
        <v>3700</v>
      </c>
      <c r="J7" s="41">
        <f t="shared" si="0"/>
        <v>3800</v>
      </c>
      <c r="K7" s="41">
        <f t="shared" si="0"/>
        <v>3950</v>
      </c>
    </row>
    <row r="8" spans="1:11">
      <c r="C8" s="25" t="s">
        <v>41</v>
      </c>
      <c r="D8" s="23"/>
      <c r="E8" s="613">
        <f t="shared" ref="E8:J8" si="1">SUMPRODUCT($C31:$C121,E31:E121)*E1/1000000000</f>
        <v>11.640597120000001</v>
      </c>
      <c r="F8" s="613">
        <f t="shared" si="1"/>
        <v>12.5195507235</v>
      </c>
      <c r="G8" s="613">
        <f t="shared" si="1"/>
        <v>12.382764269999999</v>
      </c>
      <c r="H8" s="613">
        <f t="shared" si="1"/>
        <v>12.924310376999999</v>
      </c>
      <c r="I8" s="613">
        <f t="shared" si="1"/>
        <v>13.334669737500001</v>
      </c>
      <c r="J8" s="613">
        <f t="shared" si="1"/>
        <v>14.560148112</v>
      </c>
      <c r="K8" s="613">
        <f>SUMPRODUCT($C31:$C121,K31:K121)*12/1000000000</f>
        <v>41.961423732</v>
      </c>
    </row>
    <row r="9" spans="1:11" hidden="1" outlineLevel="1">
      <c r="C9" s="25" t="s">
        <v>42</v>
      </c>
      <c r="D9" s="23"/>
    </row>
    <row r="10" spans="1:11" hidden="1" outlineLevel="1">
      <c r="I10" s="37"/>
      <c r="J10" s="37"/>
      <c r="K10" s="37"/>
    </row>
    <row r="11" spans="1:11" ht="17.25" hidden="1" customHeight="1" outlineLevel="1">
      <c r="D11" s="23"/>
      <c r="E11" s="195"/>
      <c r="F11" s="195"/>
      <c r="G11" s="195"/>
      <c r="H11" s="195"/>
      <c r="I11" s="195"/>
      <c r="J11" s="195"/>
      <c r="K11" s="195"/>
    </row>
    <row r="12" spans="1:11" hidden="1" outlineLevel="1">
      <c r="D12" s="201" t="s">
        <v>178</v>
      </c>
      <c r="E12" s="207" t="s">
        <v>189</v>
      </c>
      <c r="F12" s="207"/>
      <c r="G12" s="207" t="s">
        <v>181</v>
      </c>
      <c r="H12" s="207"/>
      <c r="I12" s="207" t="s">
        <v>181</v>
      </c>
      <c r="J12" s="207"/>
      <c r="K12" s="207" t="s">
        <v>181</v>
      </c>
    </row>
    <row r="13" spans="1:11" hidden="1" outlineLevel="1">
      <c r="D13" s="202" t="s">
        <v>180</v>
      </c>
      <c r="E13" s="203">
        <f>SUMPRODUCT($C31:$C121,E31:E121)/SUM($C31:$C121)</f>
        <v>47783.348603517072</v>
      </c>
      <c r="F13" s="203"/>
      <c r="G13" s="214" t="e">
        <f>+#REF!/#REF!-1</f>
        <v>#REF!</v>
      </c>
      <c r="H13" s="214"/>
      <c r="I13" s="214" t="e">
        <f>+#REF!/#REF!-1</f>
        <v>#REF!</v>
      </c>
      <c r="J13" s="214"/>
      <c r="K13" s="214" t="e">
        <f>+E13/#REF!-1</f>
        <v>#REF!</v>
      </c>
    </row>
    <row r="14" spans="1:11" hidden="1" outlineLevel="1">
      <c r="D14" s="197" t="s">
        <v>170</v>
      </c>
      <c r="E14" s="206">
        <f t="shared" ref="E14" si="2">SUMPRODUCT($C31:$C41,E31:E41)/SUM($C31:$C41)</f>
        <v>35800</v>
      </c>
      <c r="F14" s="206"/>
      <c r="G14" s="225" t="e">
        <f>+#REF!/#REF!-1</f>
        <v>#REF!</v>
      </c>
      <c r="H14" s="225"/>
      <c r="I14" s="225" t="e">
        <f>+#REF!/#REF!-1</f>
        <v>#REF!</v>
      </c>
      <c r="J14" s="225"/>
      <c r="K14" s="225" t="e">
        <f>+E14/#REF!-1</f>
        <v>#REF!</v>
      </c>
    </row>
    <row r="15" spans="1:11" hidden="1" outlineLevel="1">
      <c r="D15" s="197" t="s">
        <v>171</v>
      </c>
      <c r="E15" s="206">
        <f t="shared" ref="E15" si="3">SUMPRODUCT($C31:$C51,E31:E51)/SUM($C31:$C51)</f>
        <v>37858.095273483945</v>
      </c>
      <c r="F15" s="206"/>
      <c r="G15" s="225" t="e">
        <f>+#REF!/#REF!-1</f>
        <v>#REF!</v>
      </c>
      <c r="H15" s="225"/>
      <c r="I15" s="225" t="e">
        <f>+#REF!/#REF!-1</f>
        <v>#REF!</v>
      </c>
      <c r="J15" s="225"/>
      <c r="K15" s="225" t="e">
        <f>+E15/#REF!-1</f>
        <v>#REF!</v>
      </c>
    </row>
    <row r="16" spans="1:11" hidden="1" outlineLevel="1">
      <c r="D16" s="197" t="s">
        <v>172</v>
      </c>
      <c r="E16" s="206">
        <f t="shared" ref="E16" si="4">SUMPRODUCT($C31:$C61,E31:E61)/SUM($C31:$C61)</f>
        <v>41238.287374159401</v>
      </c>
      <c r="F16" s="206"/>
      <c r="G16" s="225" t="e">
        <f>+#REF!/#REF!-1</f>
        <v>#REF!</v>
      </c>
      <c r="H16" s="225"/>
      <c r="I16" s="225" t="e">
        <f>+#REF!/#REF!-1</f>
        <v>#REF!</v>
      </c>
      <c r="J16" s="225"/>
      <c r="K16" s="225" t="e">
        <f>+E16/#REF!-1</f>
        <v>#REF!</v>
      </c>
    </row>
    <row r="17" spans="1:12" hidden="1" outlineLevel="1">
      <c r="D17" s="197" t="s">
        <v>173</v>
      </c>
      <c r="E17" s="206">
        <f t="shared" ref="E17" si="5">SUMPRODUCT($C31:$C71,E31:E71)/SUM($C31:$C71)</f>
        <v>44286.283653000173</v>
      </c>
      <c r="F17" s="206"/>
      <c r="G17" s="225" t="e">
        <f>+#REF!/#REF!-1</f>
        <v>#REF!</v>
      </c>
      <c r="H17" s="225"/>
      <c r="I17" s="225" t="e">
        <f>+#REF!/#REF!-1</f>
        <v>#REF!</v>
      </c>
      <c r="J17" s="225"/>
      <c r="K17" s="225" t="e">
        <f>+E17/#REF!-1</f>
        <v>#REF!</v>
      </c>
    </row>
    <row r="18" spans="1:12" hidden="1" outlineLevel="1">
      <c r="D18" s="197" t="s">
        <v>176</v>
      </c>
      <c r="E18" s="206">
        <f>SUMPRODUCT($C72:$C121,E72:E121)/SUM($C72:$C121)</f>
        <v>66117.130996309977</v>
      </c>
      <c r="F18" s="206"/>
      <c r="G18" s="225" t="e">
        <f>+#REF!/#REF!-1</f>
        <v>#REF!</v>
      </c>
      <c r="H18" s="225"/>
      <c r="I18" s="225" t="e">
        <f>+#REF!/#REF!-1</f>
        <v>#REF!</v>
      </c>
      <c r="J18" s="225"/>
      <c r="K18" s="225" t="e">
        <f>+E18/#REF!-1</f>
        <v>#REF!</v>
      </c>
    </row>
    <row r="19" spans="1:12" hidden="1" outlineLevel="1">
      <c r="D19" s="23"/>
    </row>
    <row r="20" spans="1:12" hidden="1" collapsed="1">
      <c r="D20" s="201" t="s">
        <v>178</v>
      </c>
      <c r="E20" s="200" t="s">
        <v>179</v>
      </c>
      <c r="F20" s="200"/>
      <c r="G20" s="211">
        <v>2023</v>
      </c>
      <c r="H20" s="211"/>
      <c r="I20" s="212" t="s">
        <v>181</v>
      </c>
      <c r="J20" s="212"/>
      <c r="K20" s="215" t="s">
        <v>179</v>
      </c>
      <c r="L20" s="216"/>
    </row>
    <row r="21" spans="1:12" hidden="1">
      <c r="D21" s="202" t="s">
        <v>180</v>
      </c>
      <c r="E21" s="203">
        <f>SUMPRODUCT($C31:$C121,E31:E121)/SUM($C31:$C121)</f>
        <v>47783.348603517072</v>
      </c>
      <c r="F21" s="203"/>
      <c r="G21" s="213" t="e">
        <f>#REF!-#REF!</f>
        <v>#REF!</v>
      </c>
      <c r="H21" s="213"/>
      <c r="I21" s="214" t="e">
        <f>#REF!/#REF!-100%</f>
        <v>#REF!</v>
      </c>
      <c r="J21" s="214"/>
      <c r="K21" s="217" t="e">
        <f>E21-#REF!</f>
        <v>#REF!</v>
      </c>
      <c r="L21" s="218"/>
    </row>
    <row r="22" spans="1:12" hidden="1">
      <c r="D22" s="197" t="s">
        <v>170</v>
      </c>
      <c r="E22" s="206">
        <f t="shared" ref="E22" si="6">SUMPRODUCT($C31:$C41,E31:E41)/SUM($C31:$C41)</f>
        <v>35800</v>
      </c>
      <c r="F22" s="206"/>
      <c r="G22" s="198" t="e">
        <f>#REF!-#REF!</f>
        <v>#REF!</v>
      </c>
      <c r="H22" s="198"/>
      <c r="I22" s="205" t="e">
        <f>#REF!/#REF!-100%</f>
        <v>#REF!</v>
      </c>
      <c r="J22" s="205"/>
      <c r="K22" s="198" t="e">
        <f>E22-#REF!</f>
        <v>#REF!</v>
      </c>
      <c r="L22" s="205"/>
    </row>
    <row r="23" spans="1:12" hidden="1">
      <c r="D23" s="197" t="s">
        <v>177</v>
      </c>
      <c r="E23" s="206">
        <f t="shared" ref="E23" si="7">SUMPRODUCT($C42:$C51,E42:E51)/SUM($C42:$C51)</f>
        <v>38385.78244631186</v>
      </c>
      <c r="F23" s="206"/>
      <c r="G23" s="198" t="e">
        <f>#REF!-#REF!</f>
        <v>#REF!</v>
      </c>
      <c r="H23" s="198"/>
      <c r="I23" s="205" t="e">
        <f>#REF!/#REF!-100%</f>
        <v>#REF!</v>
      </c>
      <c r="J23" s="205"/>
      <c r="K23" s="198" t="e">
        <f>E23-#REF!</f>
        <v>#REF!</v>
      </c>
      <c r="L23" s="205"/>
    </row>
    <row r="24" spans="1:12" hidden="1">
      <c r="D24" s="197" t="s">
        <v>174</v>
      </c>
      <c r="E24" s="206">
        <f t="shared" ref="E24" si="8">SUMPRODUCT($C52:$C61,E52:E61)/SUM($C52:$C61)</f>
        <v>45134.121627408997</v>
      </c>
      <c r="F24" s="206"/>
      <c r="G24" s="198" t="e">
        <f>#REF!-#REF!</f>
        <v>#REF!</v>
      </c>
      <c r="H24" s="198"/>
      <c r="I24" s="205" t="e">
        <f>#REF!/#REF!-100%</f>
        <v>#REF!</v>
      </c>
      <c r="J24" s="205"/>
      <c r="K24" s="198" t="e">
        <f>E24-#REF!</f>
        <v>#REF!</v>
      </c>
      <c r="L24" s="205"/>
    </row>
    <row r="25" spans="1:12" hidden="1">
      <c r="D25" s="197" t="s">
        <v>175</v>
      </c>
      <c r="E25" s="206">
        <f t="shared" ref="E25" si="9">SUMPRODUCT($C62:$C71,E62:E71)/SUM($C62:$C71)</f>
        <v>52828.627188580351</v>
      </c>
      <c r="F25" s="206"/>
      <c r="G25" s="198" t="e">
        <f>#REF!-#REF!</f>
        <v>#REF!</v>
      </c>
      <c r="H25" s="198"/>
      <c r="I25" s="205" t="e">
        <f>#REF!/#REF!-100%</f>
        <v>#REF!</v>
      </c>
      <c r="J25" s="205"/>
      <c r="K25" s="198" t="e">
        <f>E25-#REF!</f>
        <v>#REF!</v>
      </c>
      <c r="L25" s="205"/>
    </row>
    <row r="26" spans="1:12" hidden="1">
      <c r="D26" s="197" t="s">
        <v>176</v>
      </c>
      <c r="E26" s="206">
        <f>SUMPRODUCT($C72:$C121,E72:E121)/SUM($C72:$C121)</f>
        <v>66117.130996309977</v>
      </c>
      <c r="F26" s="206"/>
      <c r="G26" s="198" t="e">
        <f>#REF!-#REF!</f>
        <v>#REF!</v>
      </c>
      <c r="H26" s="198"/>
      <c r="I26" s="205" t="e">
        <f>#REF!/#REF!-100%</f>
        <v>#REF!</v>
      </c>
      <c r="J26" s="205"/>
      <c r="K26" s="198" t="e">
        <f>E26-#REF!</f>
        <v>#REF!</v>
      </c>
      <c r="L26" s="205"/>
    </row>
    <row r="27" spans="1:12" hidden="1">
      <c r="I27" s="37"/>
      <c r="J27" s="37"/>
      <c r="K27" s="37"/>
      <c r="L27" s="37"/>
    </row>
    <row r="28" spans="1:12">
      <c r="C28" s="37">
        <f>SUM(C31:C42)</f>
        <v>3620</v>
      </c>
      <c r="I28" s="37"/>
      <c r="J28" s="37"/>
      <c r="K28" s="37"/>
      <c r="L28" s="37"/>
    </row>
    <row r="29" spans="1:12" ht="34.5">
      <c r="A29" s="26"/>
      <c r="B29" s="48"/>
      <c r="C29" s="636" t="s">
        <v>26</v>
      </c>
      <c r="D29" s="637"/>
      <c r="E29" s="354" t="s">
        <v>217</v>
      </c>
      <c r="F29" s="354" t="s">
        <v>218</v>
      </c>
      <c r="G29" s="354" t="s">
        <v>219</v>
      </c>
      <c r="H29" s="354" t="s">
        <v>220</v>
      </c>
      <c r="I29" s="354" t="s">
        <v>221</v>
      </c>
      <c r="J29" s="354" t="s">
        <v>222</v>
      </c>
      <c r="K29" s="223">
        <v>2026</v>
      </c>
      <c r="L29" s="37"/>
    </row>
    <row r="30" spans="1:12" s="28" customFormat="1" ht="74.25" customHeight="1">
      <c r="A30" s="49" t="s">
        <v>0</v>
      </c>
      <c r="B30" s="50" t="s">
        <v>30</v>
      </c>
      <c r="C30" s="49" t="s">
        <v>1</v>
      </c>
      <c r="D30" s="49" t="s">
        <v>7</v>
      </c>
      <c r="E30" s="27" t="s">
        <v>31</v>
      </c>
      <c r="F30" s="27" t="s">
        <v>31</v>
      </c>
      <c r="G30" s="27" t="s">
        <v>31</v>
      </c>
      <c r="H30" s="27" t="s">
        <v>31</v>
      </c>
      <c r="I30" s="27" t="s">
        <v>31</v>
      </c>
      <c r="J30" s="27" t="s">
        <v>31</v>
      </c>
      <c r="K30" s="27" t="s">
        <v>31</v>
      </c>
      <c r="L30" s="37"/>
    </row>
    <row r="31" spans="1:12" s="28" customFormat="1">
      <c r="A31" s="29">
        <v>0</v>
      </c>
      <c r="B31" s="33">
        <f>+A31*0.1</f>
        <v>0</v>
      </c>
      <c r="C31" s="34">
        <v>8</v>
      </c>
      <c r="D31" s="34">
        <v>35800</v>
      </c>
      <c r="E31" s="34">
        <f t="shared" ref="E31:K41" si="10">+IF(E$3+$A31*E$5*$B31&lt;E$4,E$4+E$7,E$3+$A31*E$5*$B31+E$7)</f>
        <v>35800</v>
      </c>
      <c r="F31" s="34">
        <f t="shared" si="10"/>
        <v>39600</v>
      </c>
      <c r="G31" s="34">
        <f t="shared" si="10"/>
        <v>39600</v>
      </c>
      <c r="H31" s="34">
        <f t="shared" si="10"/>
        <v>40700</v>
      </c>
      <c r="I31" s="34">
        <f t="shared" si="10"/>
        <v>40700</v>
      </c>
      <c r="J31" s="34">
        <f t="shared" si="10"/>
        <v>41800</v>
      </c>
      <c r="K31" s="34">
        <f t="shared" si="10"/>
        <v>43450</v>
      </c>
    </row>
    <row r="32" spans="1:12" s="28" customFormat="1">
      <c r="A32" s="29">
        <v>1</v>
      </c>
      <c r="B32" s="33">
        <v>0.1</v>
      </c>
      <c r="C32" s="34">
        <v>1</v>
      </c>
      <c r="D32" s="34">
        <v>35800</v>
      </c>
      <c r="E32" s="34">
        <f t="shared" si="10"/>
        <v>35800</v>
      </c>
      <c r="F32" s="34">
        <f t="shared" si="10"/>
        <v>39600</v>
      </c>
      <c r="G32" s="34">
        <f t="shared" si="10"/>
        <v>39600</v>
      </c>
      <c r="H32" s="34">
        <f t="shared" si="10"/>
        <v>40700</v>
      </c>
      <c r="I32" s="34">
        <f t="shared" si="10"/>
        <v>40700</v>
      </c>
      <c r="J32" s="34">
        <f t="shared" si="10"/>
        <v>41800</v>
      </c>
      <c r="K32" s="34">
        <f t="shared" si="10"/>
        <v>43450</v>
      </c>
    </row>
    <row r="33" spans="1:12" s="28" customFormat="1">
      <c r="A33" s="29">
        <v>2</v>
      </c>
      <c r="B33" s="33">
        <f t="shared" ref="B33:B41" si="11">+A33*0.1</f>
        <v>0.2</v>
      </c>
      <c r="C33" s="34">
        <v>14</v>
      </c>
      <c r="D33" s="34">
        <v>35800</v>
      </c>
      <c r="E33" s="34">
        <f t="shared" si="10"/>
        <v>35800</v>
      </c>
      <c r="F33" s="34">
        <f t="shared" si="10"/>
        <v>39600</v>
      </c>
      <c r="G33" s="34">
        <f t="shared" si="10"/>
        <v>39600</v>
      </c>
      <c r="H33" s="34">
        <f t="shared" si="10"/>
        <v>40700</v>
      </c>
      <c r="I33" s="34">
        <f t="shared" si="10"/>
        <v>40700</v>
      </c>
      <c r="J33" s="34">
        <f t="shared" si="10"/>
        <v>41800</v>
      </c>
      <c r="K33" s="34">
        <f t="shared" si="10"/>
        <v>43450</v>
      </c>
    </row>
    <row r="34" spans="1:12" s="28" customFormat="1">
      <c r="A34" s="29">
        <v>3</v>
      </c>
      <c r="B34" s="33">
        <f t="shared" si="11"/>
        <v>0.30000000000000004</v>
      </c>
      <c r="C34" s="34">
        <v>29</v>
      </c>
      <c r="D34" s="34">
        <v>35800</v>
      </c>
      <c r="E34" s="34">
        <f t="shared" si="10"/>
        <v>35800</v>
      </c>
      <c r="F34" s="34">
        <f t="shared" si="10"/>
        <v>39600</v>
      </c>
      <c r="G34" s="34">
        <f t="shared" si="10"/>
        <v>39600</v>
      </c>
      <c r="H34" s="34">
        <f t="shared" si="10"/>
        <v>40700</v>
      </c>
      <c r="I34" s="34">
        <f t="shared" si="10"/>
        <v>40700</v>
      </c>
      <c r="J34" s="34">
        <f t="shared" si="10"/>
        <v>41800</v>
      </c>
      <c r="K34" s="34">
        <f t="shared" si="10"/>
        <v>43450</v>
      </c>
    </row>
    <row r="35" spans="1:12" s="28" customFormat="1">
      <c r="A35" s="29">
        <v>4</v>
      </c>
      <c r="B35" s="33">
        <f t="shared" si="11"/>
        <v>0.4</v>
      </c>
      <c r="C35" s="34">
        <v>28</v>
      </c>
      <c r="D35" s="34">
        <v>35800</v>
      </c>
      <c r="E35" s="34">
        <f t="shared" si="10"/>
        <v>35800</v>
      </c>
      <c r="F35" s="34">
        <f t="shared" si="10"/>
        <v>39600</v>
      </c>
      <c r="G35" s="34">
        <f t="shared" si="10"/>
        <v>39600</v>
      </c>
      <c r="H35" s="34">
        <f t="shared" si="10"/>
        <v>40700</v>
      </c>
      <c r="I35" s="34">
        <f t="shared" si="10"/>
        <v>40700</v>
      </c>
      <c r="J35" s="34">
        <f t="shared" si="10"/>
        <v>41800</v>
      </c>
      <c r="K35" s="34">
        <f t="shared" si="10"/>
        <v>43450</v>
      </c>
    </row>
    <row r="36" spans="1:12">
      <c r="A36" s="29">
        <v>5</v>
      </c>
      <c r="B36" s="33">
        <f t="shared" si="11"/>
        <v>0.5</v>
      </c>
      <c r="C36" s="34">
        <v>243</v>
      </c>
      <c r="D36" s="34">
        <v>35800</v>
      </c>
      <c r="E36" s="34">
        <f t="shared" si="10"/>
        <v>35800</v>
      </c>
      <c r="F36" s="34">
        <f t="shared" si="10"/>
        <v>39600</v>
      </c>
      <c r="G36" s="34">
        <f t="shared" si="10"/>
        <v>39600</v>
      </c>
      <c r="H36" s="34">
        <f t="shared" si="10"/>
        <v>40700</v>
      </c>
      <c r="I36" s="34">
        <f t="shared" si="10"/>
        <v>40700</v>
      </c>
      <c r="J36" s="34">
        <f t="shared" si="10"/>
        <v>41800</v>
      </c>
      <c r="K36" s="34">
        <f t="shared" si="10"/>
        <v>43450</v>
      </c>
      <c r="L36" s="28"/>
    </row>
    <row r="37" spans="1:12">
      <c r="A37" s="29">
        <v>6</v>
      </c>
      <c r="B37" s="33">
        <f t="shared" si="11"/>
        <v>0.60000000000000009</v>
      </c>
      <c r="C37" s="34">
        <v>345</v>
      </c>
      <c r="D37" s="34">
        <v>35800</v>
      </c>
      <c r="E37" s="34">
        <f t="shared" si="10"/>
        <v>35800</v>
      </c>
      <c r="F37" s="34">
        <f t="shared" si="10"/>
        <v>39600</v>
      </c>
      <c r="G37" s="34">
        <f t="shared" si="10"/>
        <v>39600</v>
      </c>
      <c r="H37" s="34">
        <f t="shared" si="10"/>
        <v>40700</v>
      </c>
      <c r="I37" s="34">
        <f t="shared" si="10"/>
        <v>40700</v>
      </c>
      <c r="J37" s="34">
        <f t="shared" si="10"/>
        <v>41800</v>
      </c>
      <c r="K37" s="34">
        <f t="shared" si="10"/>
        <v>43450</v>
      </c>
      <c r="L37" s="28"/>
    </row>
    <row r="38" spans="1:12">
      <c r="A38" s="29">
        <v>7</v>
      </c>
      <c r="B38" s="33">
        <f t="shared" si="11"/>
        <v>0.70000000000000007</v>
      </c>
      <c r="C38" s="34">
        <v>372</v>
      </c>
      <c r="D38" s="34">
        <v>35800</v>
      </c>
      <c r="E38" s="34">
        <f t="shared" si="10"/>
        <v>35800</v>
      </c>
      <c r="F38" s="34">
        <f t="shared" si="10"/>
        <v>39600</v>
      </c>
      <c r="G38" s="34">
        <f t="shared" si="10"/>
        <v>39600</v>
      </c>
      <c r="H38" s="34">
        <f t="shared" si="10"/>
        <v>40700</v>
      </c>
      <c r="I38" s="34">
        <f t="shared" si="10"/>
        <v>40700</v>
      </c>
      <c r="J38" s="34">
        <f t="shared" si="10"/>
        <v>41800</v>
      </c>
      <c r="K38" s="34">
        <f t="shared" si="10"/>
        <v>43450</v>
      </c>
      <c r="L38" s="28"/>
    </row>
    <row r="39" spans="1:12">
      <c r="A39" s="29">
        <v>8</v>
      </c>
      <c r="B39" s="33">
        <f t="shared" si="11"/>
        <v>0.8</v>
      </c>
      <c r="C39" s="34">
        <v>476</v>
      </c>
      <c r="D39" s="34">
        <v>35800</v>
      </c>
      <c r="E39" s="34">
        <f t="shared" si="10"/>
        <v>35800</v>
      </c>
      <c r="F39" s="34">
        <f t="shared" si="10"/>
        <v>39600</v>
      </c>
      <c r="G39" s="34">
        <f t="shared" si="10"/>
        <v>39600</v>
      </c>
      <c r="H39" s="34">
        <f t="shared" si="10"/>
        <v>40700</v>
      </c>
      <c r="I39" s="34">
        <f t="shared" si="10"/>
        <v>40700</v>
      </c>
      <c r="J39" s="34">
        <f t="shared" si="10"/>
        <v>41800</v>
      </c>
      <c r="K39" s="34">
        <f t="shared" si="10"/>
        <v>43450</v>
      </c>
      <c r="L39" s="28"/>
    </row>
    <row r="40" spans="1:12">
      <c r="A40" s="29">
        <v>9</v>
      </c>
      <c r="B40" s="33">
        <f t="shared" si="11"/>
        <v>0.9</v>
      </c>
      <c r="C40" s="34">
        <v>514</v>
      </c>
      <c r="D40" s="34">
        <v>35800</v>
      </c>
      <c r="E40" s="34">
        <f t="shared" si="10"/>
        <v>35800</v>
      </c>
      <c r="F40" s="34">
        <f t="shared" si="10"/>
        <v>39600</v>
      </c>
      <c r="G40" s="34">
        <f t="shared" si="10"/>
        <v>39600</v>
      </c>
      <c r="H40" s="34">
        <f t="shared" si="10"/>
        <v>40700</v>
      </c>
      <c r="I40" s="34">
        <f t="shared" si="10"/>
        <v>40700</v>
      </c>
      <c r="J40" s="34">
        <f t="shared" si="10"/>
        <v>41800</v>
      </c>
      <c r="K40" s="34">
        <f t="shared" si="10"/>
        <v>43450</v>
      </c>
      <c r="L40" s="28"/>
    </row>
    <row r="41" spans="1:12">
      <c r="A41" s="29">
        <v>10</v>
      </c>
      <c r="B41" s="46">
        <f t="shared" si="11"/>
        <v>1</v>
      </c>
      <c r="C41" s="34">
        <v>716</v>
      </c>
      <c r="D41" s="34">
        <v>35800</v>
      </c>
      <c r="E41" s="34">
        <f t="shared" si="10"/>
        <v>35800</v>
      </c>
      <c r="F41" s="34">
        <f t="shared" si="10"/>
        <v>39600</v>
      </c>
      <c r="G41" s="34">
        <f t="shared" si="10"/>
        <v>39600</v>
      </c>
      <c r="H41" s="34">
        <f t="shared" si="10"/>
        <v>40700</v>
      </c>
      <c r="I41" s="34">
        <f t="shared" si="10"/>
        <v>40700</v>
      </c>
      <c r="J41" s="34">
        <f t="shared" si="10"/>
        <v>41800</v>
      </c>
      <c r="K41" s="34">
        <f t="shared" si="10"/>
        <v>43450</v>
      </c>
      <c r="L41" s="28"/>
    </row>
    <row r="42" spans="1:12">
      <c r="A42" s="29">
        <v>11</v>
      </c>
      <c r="B42" s="46">
        <f>+B41+0.01</f>
        <v>1.01</v>
      </c>
      <c r="C42" s="34">
        <v>874</v>
      </c>
      <c r="D42" s="34">
        <v>35795.19</v>
      </c>
      <c r="E42" s="34">
        <f t="shared" ref="E42:K51" si="12">IF(E$3+(E$5*10+($A42-10)*E$6)*$B42&lt;E$4,E$4+E$7,E$3+(E$5*10+($A42-10)*E$6)*$B42+E$7)</f>
        <v>35800</v>
      </c>
      <c r="F42" s="34">
        <f t="shared" si="12"/>
        <v>40130.25</v>
      </c>
      <c r="G42" s="34">
        <f t="shared" si="12"/>
        <v>40105</v>
      </c>
      <c r="H42" s="34">
        <f t="shared" si="12"/>
        <v>41255.5</v>
      </c>
      <c r="I42" s="34">
        <f t="shared" si="12"/>
        <v>41331.25</v>
      </c>
      <c r="J42" s="34">
        <f t="shared" si="12"/>
        <v>42608</v>
      </c>
      <c r="K42" s="34">
        <f t="shared" si="12"/>
        <v>45369</v>
      </c>
      <c r="L42" s="28"/>
    </row>
    <row r="43" spans="1:12">
      <c r="A43" s="29">
        <v>12</v>
      </c>
      <c r="B43" s="46">
        <f t="shared" ref="B43:B71" si="13">+B42+0.01</f>
        <v>1.02</v>
      </c>
      <c r="C43" s="34">
        <v>904</v>
      </c>
      <c r="D43" s="34">
        <v>35903.550000000003</v>
      </c>
      <c r="E43" s="34">
        <f t="shared" si="12"/>
        <v>35910</v>
      </c>
      <c r="F43" s="34">
        <f t="shared" si="12"/>
        <v>40671</v>
      </c>
      <c r="G43" s="34">
        <f t="shared" si="12"/>
        <v>40620</v>
      </c>
      <c r="H43" s="34">
        <f t="shared" si="12"/>
        <v>41822</v>
      </c>
      <c r="I43" s="34">
        <f t="shared" si="12"/>
        <v>41975</v>
      </c>
      <c r="J43" s="34">
        <f t="shared" si="12"/>
        <v>43432</v>
      </c>
      <c r="K43" s="34">
        <f t="shared" si="12"/>
        <v>47326</v>
      </c>
      <c r="L43" s="28"/>
    </row>
    <row r="44" spans="1:12">
      <c r="A44" s="29">
        <v>13</v>
      </c>
      <c r="B44" s="46">
        <f t="shared" si="13"/>
        <v>1.03</v>
      </c>
      <c r="C44" s="34">
        <v>971</v>
      </c>
      <c r="D44" s="34">
        <v>36509.81</v>
      </c>
      <c r="E44" s="34">
        <f t="shared" si="12"/>
        <v>36530</v>
      </c>
      <c r="F44" s="34">
        <f t="shared" si="12"/>
        <v>41222.25</v>
      </c>
      <c r="G44" s="34">
        <f t="shared" si="12"/>
        <v>41145</v>
      </c>
      <c r="H44" s="34">
        <f t="shared" si="12"/>
        <v>42399.5</v>
      </c>
      <c r="I44" s="34">
        <f t="shared" si="12"/>
        <v>42631.25</v>
      </c>
      <c r="J44" s="34">
        <f t="shared" si="12"/>
        <v>44272</v>
      </c>
      <c r="K44" s="34">
        <f t="shared" si="12"/>
        <v>49321</v>
      </c>
      <c r="L44" s="28"/>
    </row>
    <row r="45" spans="1:12">
      <c r="A45" s="29">
        <v>14</v>
      </c>
      <c r="B45" s="46">
        <f t="shared" si="13"/>
        <v>1.04</v>
      </c>
      <c r="C45" s="34">
        <v>1032</v>
      </c>
      <c r="D45" s="34">
        <v>37095.58</v>
      </c>
      <c r="E45" s="34">
        <f t="shared" si="12"/>
        <v>37160</v>
      </c>
      <c r="F45" s="34">
        <f t="shared" si="12"/>
        <v>41784</v>
      </c>
      <c r="G45" s="34">
        <f t="shared" si="12"/>
        <v>41680</v>
      </c>
      <c r="H45" s="34">
        <f t="shared" si="12"/>
        <v>42988</v>
      </c>
      <c r="I45" s="34">
        <f t="shared" si="12"/>
        <v>43300</v>
      </c>
      <c r="J45" s="34">
        <f t="shared" si="12"/>
        <v>45128</v>
      </c>
      <c r="K45" s="34">
        <f t="shared" si="12"/>
        <v>51354</v>
      </c>
      <c r="L45" s="28"/>
    </row>
    <row r="46" spans="1:12">
      <c r="A46" s="29">
        <v>15</v>
      </c>
      <c r="B46" s="46">
        <f t="shared" si="13"/>
        <v>1.05</v>
      </c>
      <c r="C46" s="34">
        <v>1131</v>
      </c>
      <c r="D46" s="34">
        <v>37735.46</v>
      </c>
      <c r="E46" s="34">
        <f t="shared" si="12"/>
        <v>37800</v>
      </c>
      <c r="F46" s="34">
        <f t="shared" si="12"/>
        <v>42356.25</v>
      </c>
      <c r="G46" s="34">
        <f t="shared" si="12"/>
        <v>42225</v>
      </c>
      <c r="H46" s="34">
        <f t="shared" si="12"/>
        <v>43587.5</v>
      </c>
      <c r="I46" s="34">
        <f t="shared" si="12"/>
        <v>43981.25</v>
      </c>
      <c r="J46" s="34">
        <f t="shared" si="12"/>
        <v>46000</v>
      </c>
      <c r="K46" s="34">
        <f t="shared" si="12"/>
        <v>53425</v>
      </c>
      <c r="L46" s="28"/>
    </row>
    <row r="47" spans="1:12">
      <c r="A47" s="29">
        <v>16</v>
      </c>
      <c r="B47" s="46">
        <f t="shared" si="13"/>
        <v>1.06</v>
      </c>
      <c r="C47" s="34">
        <v>1157</v>
      </c>
      <c r="D47" s="34">
        <v>38384.949999999997</v>
      </c>
      <c r="E47" s="34">
        <f t="shared" si="12"/>
        <v>38450</v>
      </c>
      <c r="F47" s="34">
        <f t="shared" si="12"/>
        <v>42939</v>
      </c>
      <c r="G47" s="34">
        <f t="shared" si="12"/>
        <v>42780</v>
      </c>
      <c r="H47" s="34">
        <f t="shared" si="12"/>
        <v>44198</v>
      </c>
      <c r="I47" s="34">
        <f t="shared" si="12"/>
        <v>44675</v>
      </c>
      <c r="J47" s="34">
        <f t="shared" si="12"/>
        <v>46888</v>
      </c>
      <c r="K47" s="34">
        <f t="shared" si="12"/>
        <v>55534</v>
      </c>
      <c r="L47" s="28"/>
    </row>
    <row r="48" spans="1:12">
      <c r="A48" s="29">
        <v>17</v>
      </c>
      <c r="B48" s="46">
        <f t="shared" si="13"/>
        <v>1.07</v>
      </c>
      <c r="C48" s="34">
        <v>1141</v>
      </c>
      <c r="D48" s="34">
        <v>39036.559999999998</v>
      </c>
      <c r="E48" s="34">
        <f t="shared" si="12"/>
        <v>39110</v>
      </c>
      <c r="F48" s="34">
        <f t="shared" si="12"/>
        <v>43532.25</v>
      </c>
      <c r="G48" s="34">
        <f t="shared" si="12"/>
        <v>43345</v>
      </c>
      <c r="H48" s="34">
        <f t="shared" si="12"/>
        <v>44819.5</v>
      </c>
      <c r="I48" s="34">
        <f t="shared" si="12"/>
        <v>45381.25</v>
      </c>
      <c r="J48" s="34">
        <f t="shared" si="12"/>
        <v>47792</v>
      </c>
      <c r="K48" s="34">
        <f t="shared" si="12"/>
        <v>57681</v>
      </c>
      <c r="L48" s="28"/>
    </row>
    <row r="49" spans="1:12">
      <c r="A49" s="29">
        <v>18</v>
      </c>
      <c r="B49" s="46">
        <f t="shared" si="13"/>
        <v>1.08</v>
      </c>
      <c r="C49" s="34">
        <v>1129</v>
      </c>
      <c r="D49" s="34">
        <v>39690.58</v>
      </c>
      <c r="E49" s="34">
        <f t="shared" si="12"/>
        <v>39780</v>
      </c>
      <c r="F49" s="34">
        <f t="shared" si="12"/>
        <v>44136</v>
      </c>
      <c r="G49" s="34">
        <f t="shared" si="12"/>
        <v>43920</v>
      </c>
      <c r="H49" s="34">
        <f t="shared" si="12"/>
        <v>45452</v>
      </c>
      <c r="I49" s="34">
        <f t="shared" si="12"/>
        <v>46100</v>
      </c>
      <c r="J49" s="34">
        <f t="shared" si="12"/>
        <v>48712</v>
      </c>
      <c r="K49" s="34">
        <f t="shared" si="12"/>
        <v>59866</v>
      </c>
      <c r="L49" s="28"/>
    </row>
    <row r="50" spans="1:12">
      <c r="A50" s="29">
        <v>19</v>
      </c>
      <c r="B50" s="46">
        <f t="shared" si="13"/>
        <v>1.0900000000000001</v>
      </c>
      <c r="C50" s="34">
        <v>1161</v>
      </c>
      <c r="D50" s="34">
        <v>40339.730000000003</v>
      </c>
      <c r="E50" s="34">
        <f t="shared" si="12"/>
        <v>40460</v>
      </c>
      <c r="F50" s="34">
        <f t="shared" si="12"/>
        <v>44750.25</v>
      </c>
      <c r="G50" s="34">
        <f t="shared" si="12"/>
        <v>44505</v>
      </c>
      <c r="H50" s="34">
        <f t="shared" si="12"/>
        <v>46095.5</v>
      </c>
      <c r="I50" s="34">
        <f t="shared" si="12"/>
        <v>46831.25</v>
      </c>
      <c r="J50" s="34">
        <f t="shared" si="12"/>
        <v>49648</v>
      </c>
      <c r="K50" s="34">
        <f t="shared" si="12"/>
        <v>62089</v>
      </c>
      <c r="L50" s="28"/>
    </row>
    <row r="51" spans="1:12">
      <c r="A51" s="29">
        <v>20</v>
      </c>
      <c r="B51" s="46">
        <f t="shared" si="13"/>
        <v>1.1000000000000001</v>
      </c>
      <c r="C51" s="34">
        <v>1210</v>
      </c>
      <c r="D51" s="34">
        <v>41092.730000000003</v>
      </c>
      <c r="E51" s="34">
        <f t="shared" si="12"/>
        <v>41150</v>
      </c>
      <c r="F51" s="34">
        <f t="shared" si="12"/>
        <v>45375</v>
      </c>
      <c r="G51" s="34">
        <f t="shared" si="12"/>
        <v>45100</v>
      </c>
      <c r="H51" s="34">
        <f t="shared" si="12"/>
        <v>46750</v>
      </c>
      <c r="I51" s="34">
        <f t="shared" si="12"/>
        <v>47575</v>
      </c>
      <c r="J51" s="34">
        <f t="shared" si="12"/>
        <v>50600</v>
      </c>
      <c r="K51" s="34">
        <f t="shared" si="12"/>
        <v>64350</v>
      </c>
      <c r="L51" s="28"/>
    </row>
    <row r="52" spans="1:12">
      <c r="A52" s="29">
        <v>21</v>
      </c>
      <c r="B52" s="46">
        <f t="shared" si="13"/>
        <v>1.1100000000000001</v>
      </c>
      <c r="C52" s="34">
        <v>1180</v>
      </c>
      <c r="D52" s="34">
        <v>41781.800000000003</v>
      </c>
      <c r="E52" s="34">
        <f t="shared" ref="E52:K61" si="14">IF(E$3+(E$5*10+($A52-10)*E$6)*$B52&lt;E$4,E$4+E$7,E$3+(E$5*10+($A52-10)*E$6)*$B52+E$7)</f>
        <v>41850</v>
      </c>
      <c r="F52" s="34">
        <f t="shared" si="14"/>
        <v>46010.25</v>
      </c>
      <c r="G52" s="34">
        <f t="shared" si="14"/>
        <v>45705</v>
      </c>
      <c r="H52" s="34">
        <f t="shared" si="14"/>
        <v>47415.5</v>
      </c>
      <c r="I52" s="34">
        <f t="shared" si="14"/>
        <v>48331.25</v>
      </c>
      <c r="J52" s="34">
        <f t="shared" si="14"/>
        <v>51568</v>
      </c>
      <c r="K52" s="34">
        <f t="shared" si="14"/>
        <v>66649</v>
      </c>
      <c r="L52" s="28"/>
    </row>
    <row r="53" spans="1:12">
      <c r="A53" s="29">
        <v>22</v>
      </c>
      <c r="B53" s="46">
        <f t="shared" si="13"/>
        <v>1.1200000000000001</v>
      </c>
      <c r="C53" s="34">
        <v>1215</v>
      </c>
      <c r="D53" s="34">
        <v>42502.39</v>
      </c>
      <c r="E53" s="34">
        <f t="shared" si="14"/>
        <v>42560</v>
      </c>
      <c r="F53" s="34">
        <f t="shared" si="14"/>
        <v>46656</v>
      </c>
      <c r="G53" s="34">
        <f t="shared" si="14"/>
        <v>46320</v>
      </c>
      <c r="H53" s="34">
        <f t="shared" si="14"/>
        <v>48092</v>
      </c>
      <c r="I53" s="34">
        <f t="shared" si="14"/>
        <v>49100</v>
      </c>
      <c r="J53" s="34">
        <f t="shared" si="14"/>
        <v>52552</v>
      </c>
      <c r="K53" s="34">
        <f t="shared" si="14"/>
        <v>68986</v>
      </c>
      <c r="L53" s="28"/>
    </row>
    <row r="54" spans="1:12">
      <c r="A54" s="29">
        <v>23</v>
      </c>
      <c r="B54" s="46">
        <f t="shared" si="13"/>
        <v>1.1300000000000001</v>
      </c>
      <c r="C54" s="34">
        <v>1141</v>
      </c>
      <c r="D54" s="34">
        <v>43178.98</v>
      </c>
      <c r="E54" s="34">
        <f t="shared" si="14"/>
        <v>43280</v>
      </c>
      <c r="F54" s="34">
        <f t="shared" si="14"/>
        <v>47312.25</v>
      </c>
      <c r="G54" s="34">
        <f t="shared" si="14"/>
        <v>46945</v>
      </c>
      <c r="H54" s="34">
        <f t="shared" si="14"/>
        <v>48779.5</v>
      </c>
      <c r="I54" s="34">
        <f t="shared" si="14"/>
        <v>49881.25</v>
      </c>
      <c r="J54" s="34">
        <f t="shared" si="14"/>
        <v>53552</v>
      </c>
      <c r="K54" s="34">
        <f t="shared" si="14"/>
        <v>71361</v>
      </c>
      <c r="L54" s="28"/>
    </row>
    <row r="55" spans="1:12">
      <c r="A55" s="29">
        <v>24</v>
      </c>
      <c r="B55" s="46">
        <f t="shared" si="13"/>
        <v>1.1400000000000001</v>
      </c>
      <c r="C55" s="34">
        <v>1144</v>
      </c>
      <c r="D55" s="34">
        <v>43960.17</v>
      </c>
      <c r="E55" s="34">
        <f t="shared" si="14"/>
        <v>44010</v>
      </c>
      <c r="F55" s="34">
        <f t="shared" si="14"/>
        <v>47979</v>
      </c>
      <c r="G55" s="34">
        <f t="shared" si="14"/>
        <v>47580</v>
      </c>
      <c r="H55" s="34">
        <f t="shared" si="14"/>
        <v>49478</v>
      </c>
      <c r="I55" s="34">
        <f t="shared" si="14"/>
        <v>50675</v>
      </c>
      <c r="J55" s="34">
        <f t="shared" si="14"/>
        <v>54568</v>
      </c>
      <c r="K55" s="34">
        <f t="shared" si="14"/>
        <v>73774</v>
      </c>
      <c r="L55" s="28"/>
    </row>
    <row r="56" spans="1:12">
      <c r="A56" s="29">
        <v>25</v>
      </c>
      <c r="B56" s="46">
        <f t="shared" si="13"/>
        <v>1.1500000000000001</v>
      </c>
      <c r="C56" s="34">
        <v>1236</v>
      </c>
      <c r="D56" s="34">
        <v>44702.080000000002</v>
      </c>
      <c r="E56" s="34">
        <f t="shared" si="14"/>
        <v>44750</v>
      </c>
      <c r="F56" s="34">
        <f t="shared" si="14"/>
        <v>48656.25</v>
      </c>
      <c r="G56" s="34">
        <f t="shared" si="14"/>
        <v>48225</v>
      </c>
      <c r="H56" s="34">
        <f t="shared" si="14"/>
        <v>50187.5</v>
      </c>
      <c r="I56" s="34">
        <f t="shared" si="14"/>
        <v>51481.25</v>
      </c>
      <c r="J56" s="34">
        <f t="shared" si="14"/>
        <v>55600</v>
      </c>
      <c r="K56" s="34">
        <f t="shared" si="14"/>
        <v>76225</v>
      </c>
      <c r="L56" s="28"/>
    </row>
    <row r="57" spans="1:12">
      <c r="A57" s="29">
        <v>26</v>
      </c>
      <c r="B57" s="46">
        <f t="shared" si="13"/>
        <v>1.1600000000000001</v>
      </c>
      <c r="C57" s="34">
        <v>1203</v>
      </c>
      <c r="D57" s="34">
        <v>45466.73</v>
      </c>
      <c r="E57" s="34">
        <f t="shared" si="14"/>
        <v>45500</v>
      </c>
      <c r="F57" s="34">
        <f t="shared" si="14"/>
        <v>49344</v>
      </c>
      <c r="G57" s="34">
        <f t="shared" si="14"/>
        <v>48880</v>
      </c>
      <c r="H57" s="34">
        <f t="shared" si="14"/>
        <v>50908</v>
      </c>
      <c r="I57" s="34">
        <f t="shared" si="14"/>
        <v>52300</v>
      </c>
      <c r="J57" s="34">
        <f t="shared" si="14"/>
        <v>56648</v>
      </c>
      <c r="K57" s="34">
        <f t="shared" si="14"/>
        <v>78714</v>
      </c>
      <c r="L57" s="28"/>
    </row>
    <row r="58" spans="1:12">
      <c r="A58" s="29">
        <v>27</v>
      </c>
      <c r="B58" s="46">
        <f t="shared" si="13"/>
        <v>1.1700000000000002</v>
      </c>
      <c r="C58" s="34">
        <v>1138</v>
      </c>
      <c r="D58" s="34">
        <v>46220.93</v>
      </c>
      <c r="E58" s="34">
        <f t="shared" si="14"/>
        <v>46260</v>
      </c>
      <c r="F58" s="34">
        <f t="shared" si="14"/>
        <v>50042.25</v>
      </c>
      <c r="G58" s="34">
        <f t="shared" si="14"/>
        <v>49545</v>
      </c>
      <c r="H58" s="34">
        <f t="shared" si="14"/>
        <v>51639.5</v>
      </c>
      <c r="I58" s="34">
        <f t="shared" si="14"/>
        <v>53131.25</v>
      </c>
      <c r="J58" s="34">
        <f t="shared" si="14"/>
        <v>57712</v>
      </c>
      <c r="K58" s="34">
        <f t="shared" si="14"/>
        <v>81241</v>
      </c>
      <c r="L58" s="28"/>
    </row>
    <row r="59" spans="1:12">
      <c r="A59" s="29">
        <v>28</v>
      </c>
      <c r="B59" s="46">
        <f t="shared" si="13"/>
        <v>1.1800000000000002</v>
      </c>
      <c r="C59" s="34">
        <v>1159</v>
      </c>
      <c r="D59" s="34">
        <v>47013.71</v>
      </c>
      <c r="E59" s="34">
        <f t="shared" si="14"/>
        <v>47030</v>
      </c>
      <c r="F59" s="34">
        <f t="shared" si="14"/>
        <v>50751</v>
      </c>
      <c r="G59" s="34">
        <f t="shared" si="14"/>
        <v>50220</v>
      </c>
      <c r="H59" s="34">
        <f t="shared" si="14"/>
        <v>52382</v>
      </c>
      <c r="I59" s="34">
        <f t="shared" si="14"/>
        <v>53975</v>
      </c>
      <c r="J59" s="34">
        <f t="shared" si="14"/>
        <v>58792</v>
      </c>
      <c r="K59" s="34">
        <f t="shared" si="14"/>
        <v>83806</v>
      </c>
      <c r="L59" s="28"/>
    </row>
    <row r="60" spans="1:12">
      <c r="A60" s="29">
        <v>29</v>
      </c>
      <c r="B60" s="46">
        <f t="shared" si="13"/>
        <v>1.1900000000000002</v>
      </c>
      <c r="C60" s="34">
        <v>1100</v>
      </c>
      <c r="D60" s="34">
        <v>47782.95</v>
      </c>
      <c r="E60" s="34">
        <f t="shared" si="14"/>
        <v>47810</v>
      </c>
      <c r="F60" s="34">
        <f t="shared" si="14"/>
        <v>51470.25</v>
      </c>
      <c r="G60" s="34">
        <f t="shared" si="14"/>
        <v>50905</v>
      </c>
      <c r="H60" s="34">
        <f t="shared" si="14"/>
        <v>53135.5</v>
      </c>
      <c r="I60" s="34">
        <f t="shared" si="14"/>
        <v>54831.25</v>
      </c>
      <c r="J60" s="34">
        <f t="shared" si="14"/>
        <v>59888</v>
      </c>
      <c r="K60" s="34">
        <f t="shared" si="14"/>
        <v>86409</v>
      </c>
      <c r="L60" s="28"/>
    </row>
    <row r="61" spans="1:12">
      <c r="A61" s="29">
        <v>30</v>
      </c>
      <c r="B61" s="46">
        <f t="shared" si="13"/>
        <v>1.2000000000000002</v>
      </c>
      <c r="C61" s="34">
        <v>1159</v>
      </c>
      <c r="D61" s="34">
        <v>48583.56</v>
      </c>
      <c r="E61" s="34">
        <f t="shared" si="14"/>
        <v>48600</v>
      </c>
      <c r="F61" s="34">
        <f t="shared" si="14"/>
        <v>52200</v>
      </c>
      <c r="G61" s="34">
        <f t="shared" si="14"/>
        <v>51600</v>
      </c>
      <c r="H61" s="34">
        <f t="shared" si="14"/>
        <v>53900</v>
      </c>
      <c r="I61" s="34">
        <f t="shared" si="14"/>
        <v>55700</v>
      </c>
      <c r="J61" s="34">
        <f t="shared" si="14"/>
        <v>61000</v>
      </c>
      <c r="K61" s="34">
        <f t="shared" si="14"/>
        <v>89050</v>
      </c>
      <c r="L61" s="28"/>
    </row>
    <row r="62" spans="1:12">
      <c r="A62" s="29">
        <v>31</v>
      </c>
      <c r="B62" s="46">
        <f t="shared" si="13"/>
        <v>1.2100000000000002</v>
      </c>
      <c r="C62" s="34">
        <v>1051</v>
      </c>
      <c r="D62" s="34">
        <v>49389.45</v>
      </c>
      <c r="E62" s="34">
        <f t="shared" ref="E62:K71" si="15">IF(E$3+(E$5*10+($A62-10)*E$6)*$B62&lt;E$4,E$4+E$7,E$3+(E$5*10+($A62-10)*E$6)*$B62+E$7)</f>
        <v>49400</v>
      </c>
      <c r="F62" s="34">
        <f t="shared" si="15"/>
        <v>52940.25</v>
      </c>
      <c r="G62" s="34">
        <f t="shared" si="15"/>
        <v>52305</v>
      </c>
      <c r="H62" s="34">
        <f t="shared" si="15"/>
        <v>54675.5</v>
      </c>
      <c r="I62" s="34">
        <f t="shared" si="15"/>
        <v>56581.25</v>
      </c>
      <c r="J62" s="34">
        <f t="shared" si="15"/>
        <v>62128</v>
      </c>
      <c r="K62" s="34">
        <f t="shared" si="15"/>
        <v>91729</v>
      </c>
      <c r="L62" s="28"/>
    </row>
    <row r="63" spans="1:12">
      <c r="A63" s="29">
        <v>32</v>
      </c>
      <c r="B63" s="46">
        <f t="shared" si="13"/>
        <v>1.2200000000000002</v>
      </c>
      <c r="C63" s="34">
        <v>1081</v>
      </c>
      <c r="D63" s="34">
        <v>50204.92</v>
      </c>
      <c r="E63" s="34">
        <f t="shared" si="15"/>
        <v>50210</v>
      </c>
      <c r="F63" s="34">
        <f t="shared" si="15"/>
        <v>53691</v>
      </c>
      <c r="G63" s="34">
        <f t="shared" si="15"/>
        <v>53020</v>
      </c>
      <c r="H63" s="34">
        <f t="shared" si="15"/>
        <v>55462</v>
      </c>
      <c r="I63" s="34">
        <f t="shared" si="15"/>
        <v>57475</v>
      </c>
      <c r="J63" s="34">
        <f t="shared" si="15"/>
        <v>63272</v>
      </c>
      <c r="K63" s="34">
        <f t="shared" si="15"/>
        <v>94446</v>
      </c>
      <c r="L63" s="28"/>
    </row>
    <row r="64" spans="1:12">
      <c r="A64" s="29">
        <v>33</v>
      </c>
      <c r="B64" s="46">
        <f t="shared" si="13"/>
        <v>1.2300000000000002</v>
      </c>
      <c r="C64" s="34">
        <v>1016</v>
      </c>
      <c r="D64" s="34">
        <v>51030</v>
      </c>
      <c r="E64" s="34">
        <f t="shared" si="15"/>
        <v>51030</v>
      </c>
      <c r="F64" s="34">
        <f t="shared" si="15"/>
        <v>54452.25</v>
      </c>
      <c r="G64" s="34">
        <f t="shared" si="15"/>
        <v>53745</v>
      </c>
      <c r="H64" s="34">
        <f t="shared" si="15"/>
        <v>56259.5</v>
      </c>
      <c r="I64" s="34">
        <f t="shared" si="15"/>
        <v>58381.25</v>
      </c>
      <c r="J64" s="34">
        <f t="shared" si="15"/>
        <v>64432</v>
      </c>
      <c r="K64" s="34">
        <f t="shared" si="15"/>
        <v>97201</v>
      </c>
      <c r="L64" s="28"/>
    </row>
    <row r="65" spans="1:12">
      <c r="A65" s="29">
        <v>34</v>
      </c>
      <c r="B65" s="46">
        <f t="shared" si="13"/>
        <v>1.2400000000000002</v>
      </c>
      <c r="C65" s="34">
        <v>893</v>
      </c>
      <c r="D65" s="34">
        <v>51860</v>
      </c>
      <c r="E65" s="34">
        <f t="shared" si="15"/>
        <v>51860</v>
      </c>
      <c r="F65" s="34">
        <f t="shared" si="15"/>
        <v>55224</v>
      </c>
      <c r="G65" s="34">
        <f t="shared" si="15"/>
        <v>54480</v>
      </c>
      <c r="H65" s="34">
        <f t="shared" si="15"/>
        <v>57068</v>
      </c>
      <c r="I65" s="34">
        <f t="shared" si="15"/>
        <v>59300</v>
      </c>
      <c r="J65" s="34">
        <f t="shared" si="15"/>
        <v>65608</v>
      </c>
      <c r="K65" s="34">
        <f t="shared" si="15"/>
        <v>99994</v>
      </c>
      <c r="L65" s="28"/>
    </row>
    <row r="66" spans="1:12">
      <c r="A66" s="29">
        <v>35</v>
      </c>
      <c r="B66" s="46">
        <f t="shared" si="13"/>
        <v>1.2500000000000002</v>
      </c>
      <c r="C66" s="34">
        <v>966</v>
      </c>
      <c r="D66" s="34">
        <v>52700</v>
      </c>
      <c r="E66" s="34">
        <f t="shared" si="15"/>
        <v>52700</v>
      </c>
      <c r="F66" s="34">
        <f t="shared" si="15"/>
        <v>56006.25</v>
      </c>
      <c r="G66" s="34">
        <f t="shared" si="15"/>
        <v>55225</v>
      </c>
      <c r="H66" s="34">
        <f t="shared" si="15"/>
        <v>57887.5</v>
      </c>
      <c r="I66" s="34">
        <f t="shared" si="15"/>
        <v>60231.25</v>
      </c>
      <c r="J66" s="34">
        <f t="shared" si="15"/>
        <v>66800</v>
      </c>
      <c r="K66" s="34">
        <f t="shared" si="15"/>
        <v>102825</v>
      </c>
      <c r="L66" s="28"/>
    </row>
    <row r="67" spans="1:12">
      <c r="A67" s="29">
        <v>36</v>
      </c>
      <c r="B67" s="46">
        <f t="shared" si="13"/>
        <v>1.2600000000000002</v>
      </c>
      <c r="C67" s="34">
        <v>896</v>
      </c>
      <c r="D67" s="34">
        <v>53550</v>
      </c>
      <c r="E67" s="34">
        <f t="shared" si="15"/>
        <v>53550</v>
      </c>
      <c r="F67" s="34">
        <f t="shared" si="15"/>
        <v>56799</v>
      </c>
      <c r="G67" s="34">
        <f t="shared" si="15"/>
        <v>55980</v>
      </c>
      <c r="H67" s="34">
        <f t="shared" si="15"/>
        <v>58718</v>
      </c>
      <c r="I67" s="34">
        <f t="shared" si="15"/>
        <v>61175</v>
      </c>
      <c r="J67" s="34">
        <f t="shared" si="15"/>
        <v>68008</v>
      </c>
      <c r="K67" s="34">
        <f t="shared" si="15"/>
        <v>105694.00000000001</v>
      </c>
      <c r="L67" s="28"/>
    </row>
    <row r="68" spans="1:12">
      <c r="A68" s="29">
        <v>37</v>
      </c>
      <c r="B68" s="46">
        <f t="shared" si="13"/>
        <v>1.2700000000000002</v>
      </c>
      <c r="C68" s="34">
        <v>870</v>
      </c>
      <c r="D68" s="34">
        <v>54410</v>
      </c>
      <c r="E68" s="34">
        <f t="shared" si="15"/>
        <v>54410.000000000007</v>
      </c>
      <c r="F68" s="34">
        <f t="shared" si="15"/>
        <v>57602.25</v>
      </c>
      <c r="G68" s="34">
        <f t="shared" si="15"/>
        <v>56745</v>
      </c>
      <c r="H68" s="34">
        <f t="shared" si="15"/>
        <v>59559.5</v>
      </c>
      <c r="I68" s="34">
        <f t="shared" si="15"/>
        <v>62131.25</v>
      </c>
      <c r="J68" s="34">
        <f t="shared" si="15"/>
        <v>69232</v>
      </c>
      <c r="K68" s="34">
        <f t="shared" si="15"/>
        <v>108601.00000000001</v>
      </c>
      <c r="L68" s="28"/>
    </row>
    <row r="69" spans="1:12">
      <c r="A69" s="29">
        <v>38</v>
      </c>
      <c r="B69" s="46">
        <f t="shared" si="13"/>
        <v>1.2800000000000002</v>
      </c>
      <c r="C69" s="34">
        <v>780</v>
      </c>
      <c r="D69" s="34">
        <v>55280</v>
      </c>
      <c r="E69" s="34">
        <f t="shared" si="15"/>
        <v>55280.000000000007</v>
      </c>
      <c r="F69" s="34">
        <f t="shared" si="15"/>
        <v>58416</v>
      </c>
      <c r="G69" s="34">
        <f t="shared" si="15"/>
        <v>57520</v>
      </c>
      <c r="H69" s="34">
        <f t="shared" si="15"/>
        <v>60412</v>
      </c>
      <c r="I69" s="34">
        <f t="shared" si="15"/>
        <v>63100</v>
      </c>
      <c r="J69" s="34">
        <f t="shared" si="15"/>
        <v>70472</v>
      </c>
      <c r="K69" s="34">
        <f t="shared" si="15"/>
        <v>111546.00000000001</v>
      </c>
      <c r="L69" s="28"/>
    </row>
    <row r="70" spans="1:12">
      <c r="A70" s="29">
        <v>39</v>
      </c>
      <c r="B70" s="46">
        <f t="shared" si="13"/>
        <v>1.2900000000000003</v>
      </c>
      <c r="C70" s="34">
        <v>733</v>
      </c>
      <c r="D70" s="34">
        <v>56160</v>
      </c>
      <c r="E70" s="34">
        <f t="shared" si="15"/>
        <v>56160.000000000007</v>
      </c>
      <c r="F70" s="34">
        <f t="shared" si="15"/>
        <v>59240.25</v>
      </c>
      <c r="G70" s="34">
        <f t="shared" si="15"/>
        <v>58305</v>
      </c>
      <c r="H70" s="34">
        <f t="shared" si="15"/>
        <v>61275.5</v>
      </c>
      <c r="I70" s="34">
        <f t="shared" si="15"/>
        <v>64081.25</v>
      </c>
      <c r="J70" s="34">
        <f t="shared" si="15"/>
        <v>71728</v>
      </c>
      <c r="K70" s="34">
        <f t="shared" si="15"/>
        <v>114529.00000000001</v>
      </c>
      <c r="L70" s="28"/>
    </row>
    <row r="71" spans="1:12">
      <c r="A71" s="29">
        <v>40</v>
      </c>
      <c r="B71" s="46">
        <f t="shared" si="13"/>
        <v>1.3000000000000003</v>
      </c>
      <c r="C71" s="34">
        <v>681</v>
      </c>
      <c r="D71" s="34">
        <v>57050</v>
      </c>
      <c r="E71" s="34">
        <f t="shared" si="15"/>
        <v>57050.000000000007</v>
      </c>
      <c r="F71" s="34">
        <f t="shared" si="15"/>
        <v>60075</v>
      </c>
      <c r="G71" s="34">
        <f t="shared" si="15"/>
        <v>59100</v>
      </c>
      <c r="H71" s="34">
        <f t="shared" si="15"/>
        <v>62150</v>
      </c>
      <c r="I71" s="34">
        <f t="shared" si="15"/>
        <v>65075</v>
      </c>
      <c r="J71" s="34">
        <f t="shared" si="15"/>
        <v>73000</v>
      </c>
      <c r="K71" s="34">
        <f t="shared" si="15"/>
        <v>117550.00000000001</v>
      </c>
      <c r="L71" s="28"/>
    </row>
    <row r="72" spans="1:12">
      <c r="A72" s="29">
        <v>41</v>
      </c>
      <c r="B72" s="46">
        <f>+B71+0.02</f>
        <v>1.3200000000000003</v>
      </c>
      <c r="C72" s="34">
        <v>659</v>
      </c>
      <c r="D72" s="34">
        <v>58200</v>
      </c>
      <c r="E72" s="34">
        <f t="shared" ref="E72:K81" si="16">IF(E$3+(E$5*10+($A72-10)*E$6)*$B72&lt;E$4,E$4+E$7,E$3+(E$5*10+($A72-10)*E$6)*$B72+E$7)</f>
        <v>58200.000000000007</v>
      </c>
      <c r="F72" s="34">
        <f t="shared" si="16"/>
        <v>61083</v>
      </c>
      <c r="G72" s="34">
        <f t="shared" si="16"/>
        <v>60060</v>
      </c>
      <c r="H72" s="34">
        <f t="shared" si="16"/>
        <v>63206</v>
      </c>
      <c r="I72" s="34">
        <f t="shared" si="16"/>
        <v>66275</v>
      </c>
      <c r="J72" s="34">
        <f t="shared" si="16"/>
        <v>74536</v>
      </c>
      <c r="K72" s="34">
        <f t="shared" si="16"/>
        <v>121198.00000000001</v>
      </c>
      <c r="L72" s="28"/>
    </row>
    <row r="73" spans="1:12">
      <c r="A73" s="29">
        <v>42</v>
      </c>
      <c r="B73" s="46">
        <f t="shared" ref="B73:B100" si="17">+B72+0.02</f>
        <v>1.3400000000000003</v>
      </c>
      <c r="C73" s="34">
        <v>636</v>
      </c>
      <c r="D73" s="34">
        <v>59370</v>
      </c>
      <c r="E73" s="34">
        <f t="shared" si="16"/>
        <v>59370.000000000007</v>
      </c>
      <c r="F73" s="34">
        <f t="shared" si="16"/>
        <v>62112</v>
      </c>
      <c r="G73" s="34">
        <f t="shared" si="16"/>
        <v>61040</v>
      </c>
      <c r="H73" s="34">
        <f t="shared" si="16"/>
        <v>64284</v>
      </c>
      <c r="I73" s="34">
        <f t="shared" si="16"/>
        <v>67500</v>
      </c>
      <c r="J73" s="34">
        <f t="shared" si="16"/>
        <v>76104</v>
      </c>
      <c r="K73" s="34">
        <f t="shared" si="16"/>
        <v>124922.00000000001</v>
      </c>
      <c r="L73" s="28"/>
    </row>
    <row r="74" spans="1:12">
      <c r="A74" s="29">
        <v>43</v>
      </c>
      <c r="B74" s="46">
        <f t="shared" si="17"/>
        <v>1.3600000000000003</v>
      </c>
      <c r="C74" s="34">
        <v>612</v>
      </c>
      <c r="D74" s="34">
        <v>60560</v>
      </c>
      <c r="E74" s="34">
        <f t="shared" si="16"/>
        <v>60560.000000000007</v>
      </c>
      <c r="F74" s="34">
        <f t="shared" si="16"/>
        <v>63162.000000000007</v>
      </c>
      <c r="G74" s="34">
        <f t="shared" si="16"/>
        <v>62040</v>
      </c>
      <c r="H74" s="34">
        <f t="shared" si="16"/>
        <v>65384.000000000007</v>
      </c>
      <c r="I74" s="34">
        <f t="shared" si="16"/>
        <v>68750</v>
      </c>
      <c r="J74" s="34">
        <f t="shared" si="16"/>
        <v>77704</v>
      </c>
      <c r="K74" s="34">
        <f t="shared" si="16"/>
        <v>128722.00000000001</v>
      </c>
      <c r="L74" s="28"/>
    </row>
    <row r="75" spans="1:12">
      <c r="A75" s="29">
        <v>44</v>
      </c>
      <c r="B75" s="46">
        <f t="shared" si="17"/>
        <v>1.3800000000000003</v>
      </c>
      <c r="C75" s="34">
        <v>623</v>
      </c>
      <c r="D75" s="34">
        <v>61770</v>
      </c>
      <c r="E75" s="34">
        <f t="shared" si="16"/>
        <v>61770.000000000007</v>
      </c>
      <c r="F75" s="34">
        <f t="shared" si="16"/>
        <v>64233.000000000007</v>
      </c>
      <c r="G75" s="34">
        <f t="shared" si="16"/>
        <v>63060.000000000007</v>
      </c>
      <c r="H75" s="34">
        <f t="shared" si="16"/>
        <v>66506</v>
      </c>
      <c r="I75" s="34">
        <f t="shared" si="16"/>
        <v>70025</v>
      </c>
      <c r="J75" s="34">
        <f t="shared" si="16"/>
        <v>79336</v>
      </c>
      <c r="K75" s="34">
        <f t="shared" si="16"/>
        <v>132598</v>
      </c>
      <c r="L75" s="28"/>
    </row>
    <row r="76" spans="1:12">
      <c r="A76" s="29">
        <v>45</v>
      </c>
      <c r="B76" s="46">
        <f t="shared" si="17"/>
        <v>1.4000000000000004</v>
      </c>
      <c r="C76" s="34">
        <v>585</v>
      </c>
      <c r="D76" s="34">
        <v>63000</v>
      </c>
      <c r="E76" s="34">
        <f t="shared" si="16"/>
        <v>63000.000000000007</v>
      </c>
      <c r="F76" s="34">
        <f t="shared" si="16"/>
        <v>65325.000000000007</v>
      </c>
      <c r="G76" s="34">
        <f t="shared" si="16"/>
        <v>64100.000000000007</v>
      </c>
      <c r="H76" s="34">
        <f t="shared" si="16"/>
        <v>67650</v>
      </c>
      <c r="I76" s="34">
        <f t="shared" si="16"/>
        <v>71325</v>
      </c>
      <c r="J76" s="34">
        <f t="shared" si="16"/>
        <v>81000</v>
      </c>
      <c r="K76" s="34">
        <f t="shared" si="16"/>
        <v>136550.00000000003</v>
      </c>
      <c r="L76" s="28"/>
    </row>
    <row r="77" spans="1:12">
      <c r="A77" s="29">
        <v>46</v>
      </c>
      <c r="B77" s="46">
        <f t="shared" si="17"/>
        <v>1.4200000000000004</v>
      </c>
      <c r="C77" s="34">
        <v>560</v>
      </c>
      <c r="D77" s="34">
        <v>64250</v>
      </c>
      <c r="E77" s="34">
        <f t="shared" si="16"/>
        <v>64250.000000000007</v>
      </c>
      <c r="F77" s="34">
        <f t="shared" si="16"/>
        <v>66438</v>
      </c>
      <c r="G77" s="34">
        <f t="shared" si="16"/>
        <v>65160.000000000007</v>
      </c>
      <c r="H77" s="34">
        <f t="shared" si="16"/>
        <v>68816</v>
      </c>
      <c r="I77" s="34">
        <f t="shared" si="16"/>
        <v>72650</v>
      </c>
      <c r="J77" s="34">
        <f t="shared" si="16"/>
        <v>82696</v>
      </c>
      <c r="K77" s="34">
        <f t="shared" si="16"/>
        <v>140578.00000000003</v>
      </c>
      <c r="L77" s="28"/>
    </row>
    <row r="78" spans="1:12">
      <c r="A78" s="29">
        <v>47</v>
      </c>
      <c r="B78" s="46">
        <f t="shared" si="17"/>
        <v>1.4400000000000004</v>
      </c>
      <c r="C78" s="34">
        <v>430</v>
      </c>
      <c r="D78" s="34">
        <v>65520</v>
      </c>
      <c r="E78" s="34">
        <f t="shared" si="16"/>
        <v>65520.000000000015</v>
      </c>
      <c r="F78" s="34">
        <f t="shared" si="16"/>
        <v>67572</v>
      </c>
      <c r="G78" s="34">
        <f t="shared" si="16"/>
        <v>66240</v>
      </c>
      <c r="H78" s="34">
        <f t="shared" si="16"/>
        <v>70004</v>
      </c>
      <c r="I78" s="34">
        <f t="shared" si="16"/>
        <v>74000</v>
      </c>
      <c r="J78" s="34">
        <f t="shared" si="16"/>
        <v>84424.000000000015</v>
      </c>
      <c r="K78" s="34">
        <f t="shared" si="16"/>
        <v>144682.00000000003</v>
      </c>
      <c r="L78" s="28"/>
    </row>
    <row r="79" spans="1:12">
      <c r="A79" s="29">
        <v>48</v>
      </c>
      <c r="B79" s="46">
        <f t="shared" si="17"/>
        <v>1.4600000000000004</v>
      </c>
      <c r="C79" s="34">
        <v>337</v>
      </c>
      <c r="D79" s="34">
        <v>66810</v>
      </c>
      <c r="E79" s="34">
        <f t="shared" si="16"/>
        <v>66810.000000000015</v>
      </c>
      <c r="F79" s="34">
        <f t="shared" si="16"/>
        <v>68727</v>
      </c>
      <c r="G79" s="34">
        <f t="shared" si="16"/>
        <v>67340</v>
      </c>
      <c r="H79" s="34">
        <f t="shared" si="16"/>
        <v>71214</v>
      </c>
      <c r="I79" s="34">
        <f t="shared" si="16"/>
        <v>75375</v>
      </c>
      <c r="J79" s="34">
        <f t="shared" si="16"/>
        <v>86184.000000000015</v>
      </c>
      <c r="K79" s="34">
        <f t="shared" si="16"/>
        <v>148862.00000000003</v>
      </c>
      <c r="L79" s="28"/>
    </row>
    <row r="80" spans="1:12">
      <c r="A80" s="29">
        <v>49</v>
      </c>
      <c r="B80" s="46">
        <f t="shared" si="17"/>
        <v>1.4800000000000004</v>
      </c>
      <c r="C80" s="34">
        <v>305</v>
      </c>
      <c r="D80" s="34">
        <v>68120</v>
      </c>
      <c r="E80" s="34">
        <f t="shared" si="16"/>
        <v>68120.000000000015</v>
      </c>
      <c r="F80" s="34">
        <f t="shared" si="16"/>
        <v>69903</v>
      </c>
      <c r="G80" s="34">
        <f t="shared" si="16"/>
        <v>68460</v>
      </c>
      <c r="H80" s="34">
        <f t="shared" si="16"/>
        <v>72446.000000000015</v>
      </c>
      <c r="I80" s="34">
        <f t="shared" si="16"/>
        <v>76775</v>
      </c>
      <c r="J80" s="34">
        <f t="shared" si="16"/>
        <v>87976.000000000015</v>
      </c>
      <c r="K80" s="34">
        <f t="shared" si="16"/>
        <v>153118.00000000003</v>
      </c>
      <c r="L80" s="28"/>
    </row>
    <row r="81" spans="1:12">
      <c r="A81" s="29">
        <v>50</v>
      </c>
      <c r="B81" s="46">
        <f t="shared" si="17"/>
        <v>1.5000000000000004</v>
      </c>
      <c r="C81" s="34">
        <v>298</v>
      </c>
      <c r="D81" s="34">
        <v>69450</v>
      </c>
      <c r="E81" s="34">
        <f t="shared" si="16"/>
        <v>69450.000000000015</v>
      </c>
      <c r="F81" s="34">
        <f t="shared" si="16"/>
        <v>71100.000000000015</v>
      </c>
      <c r="G81" s="34">
        <f t="shared" si="16"/>
        <v>69600</v>
      </c>
      <c r="H81" s="34">
        <f t="shared" si="16"/>
        <v>73700</v>
      </c>
      <c r="I81" s="34">
        <f t="shared" si="16"/>
        <v>78200.000000000015</v>
      </c>
      <c r="J81" s="34">
        <f t="shared" si="16"/>
        <v>89800.000000000015</v>
      </c>
      <c r="K81" s="34">
        <f t="shared" si="16"/>
        <v>157450.00000000003</v>
      </c>
      <c r="L81" s="28"/>
    </row>
    <row r="82" spans="1:12">
      <c r="A82" s="29">
        <v>51</v>
      </c>
      <c r="B82" s="46">
        <f t="shared" si="17"/>
        <v>1.5200000000000005</v>
      </c>
      <c r="C82" s="34">
        <v>258</v>
      </c>
      <c r="D82" s="34">
        <v>70800</v>
      </c>
      <c r="E82" s="34">
        <f t="shared" ref="E82:K91" si="18">IF(E$3+(E$5*10+($A82-10)*E$6)*$B82&lt;E$4,E$4+E$7,E$3+(E$5*10+($A82-10)*E$6)*$B82+E$7)</f>
        <v>70800.000000000015</v>
      </c>
      <c r="F82" s="34">
        <f t="shared" si="18"/>
        <v>72318.000000000015</v>
      </c>
      <c r="G82" s="34">
        <f t="shared" si="18"/>
        <v>70760.000000000015</v>
      </c>
      <c r="H82" s="34">
        <f t="shared" si="18"/>
        <v>74976</v>
      </c>
      <c r="I82" s="34">
        <f t="shared" si="18"/>
        <v>79650.000000000015</v>
      </c>
      <c r="J82" s="34">
        <f t="shared" si="18"/>
        <v>91656.000000000015</v>
      </c>
      <c r="K82" s="34">
        <f t="shared" si="18"/>
        <v>161858.00000000003</v>
      </c>
      <c r="L82" s="28"/>
    </row>
    <row r="83" spans="1:12">
      <c r="A83" s="29">
        <v>52</v>
      </c>
      <c r="B83" s="46">
        <f t="shared" si="17"/>
        <v>1.5400000000000005</v>
      </c>
      <c r="C83" s="34">
        <v>212</v>
      </c>
      <c r="D83" s="34">
        <v>72170</v>
      </c>
      <c r="E83" s="34">
        <f t="shared" si="18"/>
        <v>72170.000000000015</v>
      </c>
      <c r="F83" s="34">
        <f t="shared" si="18"/>
        <v>73557</v>
      </c>
      <c r="G83" s="34">
        <f t="shared" si="18"/>
        <v>71940.000000000015</v>
      </c>
      <c r="H83" s="34">
        <f t="shared" si="18"/>
        <v>76274.000000000015</v>
      </c>
      <c r="I83" s="34">
        <f t="shared" si="18"/>
        <v>81125.000000000015</v>
      </c>
      <c r="J83" s="34">
        <f t="shared" si="18"/>
        <v>93544.000000000015</v>
      </c>
      <c r="K83" s="34">
        <f t="shared" si="18"/>
        <v>166342.00000000006</v>
      </c>
      <c r="L83" s="28"/>
    </row>
    <row r="84" spans="1:12">
      <c r="A84" s="29">
        <v>53</v>
      </c>
      <c r="B84" s="46">
        <f t="shared" si="17"/>
        <v>1.5600000000000005</v>
      </c>
      <c r="C84" s="34">
        <v>163</v>
      </c>
      <c r="D84" s="34">
        <v>73560</v>
      </c>
      <c r="E84" s="34">
        <f t="shared" si="18"/>
        <v>73560.000000000015</v>
      </c>
      <c r="F84" s="34">
        <f t="shared" si="18"/>
        <v>74817.000000000015</v>
      </c>
      <c r="G84" s="34">
        <f t="shared" si="18"/>
        <v>73140</v>
      </c>
      <c r="H84" s="34">
        <f t="shared" si="18"/>
        <v>77594.000000000015</v>
      </c>
      <c r="I84" s="34">
        <f t="shared" si="18"/>
        <v>82625.000000000015</v>
      </c>
      <c r="J84" s="34">
        <f t="shared" si="18"/>
        <v>95464.000000000015</v>
      </c>
      <c r="K84" s="34">
        <f t="shared" si="18"/>
        <v>170902.00000000006</v>
      </c>
      <c r="L84" s="28"/>
    </row>
    <row r="85" spans="1:12">
      <c r="A85" s="29">
        <v>54</v>
      </c>
      <c r="B85" s="46">
        <f t="shared" si="17"/>
        <v>1.5800000000000005</v>
      </c>
      <c r="C85" s="34">
        <v>133</v>
      </c>
      <c r="D85" s="34">
        <v>74970</v>
      </c>
      <c r="E85" s="34">
        <f t="shared" si="18"/>
        <v>74970.000000000015</v>
      </c>
      <c r="F85" s="34">
        <f t="shared" si="18"/>
        <v>76098.000000000015</v>
      </c>
      <c r="G85" s="34">
        <f t="shared" si="18"/>
        <v>74360.000000000015</v>
      </c>
      <c r="H85" s="34">
        <f t="shared" si="18"/>
        <v>78936.000000000015</v>
      </c>
      <c r="I85" s="34">
        <f t="shared" si="18"/>
        <v>84150.000000000015</v>
      </c>
      <c r="J85" s="34">
        <f t="shared" si="18"/>
        <v>97416.000000000015</v>
      </c>
      <c r="K85" s="34">
        <f t="shared" si="18"/>
        <v>175538.00000000003</v>
      </c>
      <c r="L85" s="28"/>
    </row>
    <row r="86" spans="1:12">
      <c r="A86" s="29">
        <v>55</v>
      </c>
      <c r="B86" s="46">
        <f t="shared" si="17"/>
        <v>1.6000000000000005</v>
      </c>
      <c r="C86" s="34">
        <v>140</v>
      </c>
      <c r="D86" s="34">
        <v>76400</v>
      </c>
      <c r="E86" s="34">
        <f t="shared" si="18"/>
        <v>76400.000000000015</v>
      </c>
      <c r="F86" s="34">
        <f t="shared" si="18"/>
        <v>77400.000000000015</v>
      </c>
      <c r="G86" s="34">
        <f t="shared" si="18"/>
        <v>75600.000000000015</v>
      </c>
      <c r="H86" s="34">
        <f t="shared" si="18"/>
        <v>80300.000000000015</v>
      </c>
      <c r="I86" s="34">
        <f t="shared" si="18"/>
        <v>85700.000000000015</v>
      </c>
      <c r="J86" s="34">
        <f t="shared" si="18"/>
        <v>99400.000000000029</v>
      </c>
      <c r="K86" s="34">
        <f t="shared" si="18"/>
        <v>180250.00000000006</v>
      </c>
      <c r="L86" s="28"/>
    </row>
    <row r="87" spans="1:12">
      <c r="A87" s="29">
        <v>56</v>
      </c>
      <c r="B87" s="46">
        <f t="shared" si="17"/>
        <v>1.6200000000000006</v>
      </c>
      <c r="C87" s="34">
        <v>105</v>
      </c>
      <c r="D87" s="34">
        <v>77850</v>
      </c>
      <c r="E87" s="34">
        <f t="shared" si="18"/>
        <v>77850.000000000015</v>
      </c>
      <c r="F87" s="34">
        <f t="shared" si="18"/>
        <v>78723.000000000015</v>
      </c>
      <c r="G87" s="34">
        <f t="shared" si="18"/>
        <v>76860.000000000015</v>
      </c>
      <c r="H87" s="34">
        <f t="shared" si="18"/>
        <v>81686.000000000015</v>
      </c>
      <c r="I87" s="34">
        <f t="shared" si="18"/>
        <v>87275.000000000015</v>
      </c>
      <c r="J87" s="34">
        <f t="shared" si="18"/>
        <v>101416.00000000003</v>
      </c>
      <c r="K87" s="34">
        <f t="shared" si="18"/>
        <v>185038.00000000006</v>
      </c>
      <c r="L87" s="28"/>
    </row>
    <row r="88" spans="1:12">
      <c r="A88" s="29">
        <v>57</v>
      </c>
      <c r="B88" s="46">
        <f t="shared" si="17"/>
        <v>1.6400000000000006</v>
      </c>
      <c r="C88" s="34">
        <v>95</v>
      </c>
      <c r="D88" s="34">
        <v>79320</v>
      </c>
      <c r="E88" s="34">
        <f t="shared" si="18"/>
        <v>79320.000000000029</v>
      </c>
      <c r="F88" s="34">
        <f t="shared" si="18"/>
        <v>80067.000000000015</v>
      </c>
      <c r="G88" s="34">
        <f t="shared" si="18"/>
        <v>78140.000000000015</v>
      </c>
      <c r="H88" s="34">
        <f t="shared" si="18"/>
        <v>83094.000000000015</v>
      </c>
      <c r="I88" s="34">
        <f t="shared" si="18"/>
        <v>88875.000000000015</v>
      </c>
      <c r="J88" s="34">
        <f t="shared" si="18"/>
        <v>103464.00000000003</v>
      </c>
      <c r="K88" s="34">
        <f t="shared" si="18"/>
        <v>189902.00000000006</v>
      </c>
      <c r="L88" s="28"/>
    </row>
    <row r="89" spans="1:12">
      <c r="A89" s="29">
        <v>58</v>
      </c>
      <c r="B89" s="46">
        <f t="shared" si="17"/>
        <v>1.6600000000000006</v>
      </c>
      <c r="C89" s="34">
        <v>64</v>
      </c>
      <c r="D89" s="34">
        <v>80810</v>
      </c>
      <c r="E89" s="34">
        <f t="shared" si="18"/>
        <v>80810.000000000029</v>
      </c>
      <c r="F89" s="34">
        <f t="shared" si="18"/>
        <v>81432.000000000015</v>
      </c>
      <c r="G89" s="34">
        <f t="shared" si="18"/>
        <v>79440.000000000015</v>
      </c>
      <c r="H89" s="34">
        <f t="shared" si="18"/>
        <v>84524.000000000015</v>
      </c>
      <c r="I89" s="34">
        <f t="shared" si="18"/>
        <v>90500.000000000015</v>
      </c>
      <c r="J89" s="34">
        <f t="shared" si="18"/>
        <v>105544.00000000003</v>
      </c>
      <c r="K89" s="34">
        <f t="shared" si="18"/>
        <v>194842.00000000006</v>
      </c>
      <c r="L89" s="28"/>
    </row>
    <row r="90" spans="1:12">
      <c r="A90" s="29">
        <v>59</v>
      </c>
      <c r="B90" s="46">
        <f t="shared" si="17"/>
        <v>1.6800000000000006</v>
      </c>
      <c r="C90" s="34">
        <v>48</v>
      </c>
      <c r="D90" s="34">
        <v>82320</v>
      </c>
      <c r="E90" s="34">
        <f t="shared" si="18"/>
        <v>82320.000000000029</v>
      </c>
      <c r="F90" s="34">
        <f t="shared" si="18"/>
        <v>82818.000000000015</v>
      </c>
      <c r="G90" s="34">
        <f t="shared" si="18"/>
        <v>80760.000000000015</v>
      </c>
      <c r="H90" s="34">
        <f t="shared" si="18"/>
        <v>85976.000000000015</v>
      </c>
      <c r="I90" s="34">
        <f t="shared" si="18"/>
        <v>92150.000000000029</v>
      </c>
      <c r="J90" s="34">
        <f t="shared" si="18"/>
        <v>107656.00000000003</v>
      </c>
      <c r="K90" s="34">
        <f t="shared" si="18"/>
        <v>199858.00000000006</v>
      </c>
      <c r="L90" s="28"/>
    </row>
    <row r="91" spans="1:12">
      <c r="A91" s="29">
        <v>60</v>
      </c>
      <c r="B91" s="46">
        <f t="shared" si="17"/>
        <v>1.7000000000000006</v>
      </c>
      <c r="C91" s="34">
        <v>48</v>
      </c>
      <c r="D91" s="34">
        <v>83850</v>
      </c>
      <c r="E91" s="34">
        <f t="shared" si="18"/>
        <v>83850.000000000029</v>
      </c>
      <c r="F91" s="34">
        <f t="shared" si="18"/>
        <v>84225.000000000015</v>
      </c>
      <c r="G91" s="34">
        <f t="shared" si="18"/>
        <v>82100.000000000015</v>
      </c>
      <c r="H91" s="34">
        <f t="shared" si="18"/>
        <v>87450.000000000015</v>
      </c>
      <c r="I91" s="34">
        <f t="shared" si="18"/>
        <v>93825.000000000029</v>
      </c>
      <c r="J91" s="34">
        <f t="shared" si="18"/>
        <v>109800.00000000003</v>
      </c>
      <c r="K91" s="34">
        <f t="shared" si="18"/>
        <v>204950.00000000006</v>
      </c>
      <c r="L91" s="28"/>
    </row>
    <row r="92" spans="1:12">
      <c r="A92" s="29">
        <v>61</v>
      </c>
      <c r="B92" s="46">
        <f t="shared" si="17"/>
        <v>1.7200000000000006</v>
      </c>
      <c r="C92" s="34">
        <v>31</v>
      </c>
      <c r="D92" s="34">
        <v>85400</v>
      </c>
      <c r="E92" s="34">
        <f t="shared" ref="E92:K101" si="19">IF(E$3+(E$5*10+($A92-10)*E$6)*$B92&lt;E$4,E$4+E$7,E$3+(E$5*10+($A92-10)*E$6)*$B92+E$7)</f>
        <v>85400.000000000029</v>
      </c>
      <c r="F92" s="34">
        <f t="shared" si="19"/>
        <v>85653.000000000015</v>
      </c>
      <c r="G92" s="34">
        <f t="shared" si="19"/>
        <v>83460.000000000015</v>
      </c>
      <c r="H92" s="34">
        <f t="shared" si="19"/>
        <v>88946.000000000015</v>
      </c>
      <c r="I92" s="34">
        <f t="shared" si="19"/>
        <v>95525.000000000029</v>
      </c>
      <c r="J92" s="34">
        <f t="shared" si="19"/>
        <v>111976.00000000003</v>
      </c>
      <c r="K92" s="34">
        <f t="shared" si="19"/>
        <v>210118.00000000006</v>
      </c>
      <c r="L92" s="28"/>
    </row>
    <row r="93" spans="1:12">
      <c r="A93" s="29">
        <v>62</v>
      </c>
      <c r="B93" s="46">
        <f t="shared" si="17"/>
        <v>1.7400000000000007</v>
      </c>
      <c r="C93" s="34">
        <v>42</v>
      </c>
      <c r="D93" s="34">
        <v>86970</v>
      </c>
      <c r="E93" s="34">
        <f t="shared" si="19"/>
        <v>86970.000000000029</v>
      </c>
      <c r="F93" s="34">
        <f t="shared" si="19"/>
        <v>87102.000000000015</v>
      </c>
      <c r="G93" s="34">
        <f t="shared" si="19"/>
        <v>84840.000000000015</v>
      </c>
      <c r="H93" s="34">
        <f t="shared" si="19"/>
        <v>90464.000000000029</v>
      </c>
      <c r="I93" s="34">
        <f t="shared" si="19"/>
        <v>97250.000000000029</v>
      </c>
      <c r="J93" s="34">
        <f t="shared" si="19"/>
        <v>114184.00000000003</v>
      </c>
      <c r="K93" s="34">
        <f t="shared" si="19"/>
        <v>215362.00000000006</v>
      </c>
      <c r="L93" s="28"/>
    </row>
    <row r="94" spans="1:12">
      <c r="A94" s="29">
        <v>63</v>
      </c>
      <c r="B94" s="46">
        <f t="shared" si="17"/>
        <v>1.7600000000000007</v>
      </c>
      <c r="C94" s="34">
        <v>36</v>
      </c>
      <c r="D94" s="34">
        <v>88560</v>
      </c>
      <c r="E94" s="34">
        <f t="shared" si="19"/>
        <v>88560.000000000029</v>
      </c>
      <c r="F94" s="34">
        <f t="shared" si="19"/>
        <v>88572.000000000029</v>
      </c>
      <c r="G94" s="34">
        <f t="shared" si="19"/>
        <v>86240.000000000015</v>
      </c>
      <c r="H94" s="34">
        <f t="shared" si="19"/>
        <v>92004.000000000029</v>
      </c>
      <c r="I94" s="34">
        <f t="shared" si="19"/>
        <v>99000.000000000029</v>
      </c>
      <c r="J94" s="34">
        <f t="shared" si="19"/>
        <v>116424.00000000003</v>
      </c>
      <c r="K94" s="34">
        <f t="shared" si="19"/>
        <v>220682.00000000006</v>
      </c>
      <c r="L94" s="28"/>
    </row>
    <row r="95" spans="1:12">
      <c r="A95" s="29">
        <v>64</v>
      </c>
      <c r="B95" s="46">
        <f t="shared" si="17"/>
        <v>1.7800000000000007</v>
      </c>
      <c r="C95" s="34">
        <v>17</v>
      </c>
      <c r="D95" s="34">
        <v>90170</v>
      </c>
      <c r="E95" s="34">
        <f t="shared" si="19"/>
        <v>90170.000000000029</v>
      </c>
      <c r="F95" s="34">
        <f t="shared" si="19"/>
        <v>90063.000000000029</v>
      </c>
      <c r="G95" s="34">
        <f t="shared" si="19"/>
        <v>87660.000000000029</v>
      </c>
      <c r="H95" s="34">
        <f t="shared" si="19"/>
        <v>93566.000000000029</v>
      </c>
      <c r="I95" s="34">
        <f t="shared" si="19"/>
        <v>100775.00000000003</v>
      </c>
      <c r="J95" s="34">
        <f t="shared" si="19"/>
        <v>118696.00000000003</v>
      </c>
      <c r="K95" s="34">
        <f t="shared" si="19"/>
        <v>226078.00000000006</v>
      </c>
      <c r="L95" s="28"/>
    </row>
    <row r="96" spans="1:12">
      <c r="A96" s="29">
        <v>65</v>
      </c>
      <c r="B96" s="46">
        <f t="shared" si="17"/>
        <v>1.8000000000000007</v>
      </c>
      <c r="C96" s="34">
        <v>13</v>
      </c>
      <c r="D96" s="34">
        <v>91800</v>
      </c>
      <c r="E96" s="34">
        <f t="shared" si="19"/>
        <v>91800.000000000029</v>
      </c>
      <c r="F96" s="34">
        <f t="shared" si="19"/>
        <v>91575.000000000029</v>
      </c>
      <c r="G96" s="34">
        <f t="shared" si="19"/>
        <v>89100.000000000029</v>
      </c>
      <c r="H96" s="34">
        <f t="shared" si="19"/>
        <v>95150.000000000029</v>
      </c>
      <c r="I96" s="34">
        <f t="shared" si="19"/>
        <v>102575.00000000003</v>
      </c>
      <c r="J96" s="34">
        <f t="shared" si="19"/>
        <v>121000.00000000003</v>
      </c>
      <c r="K96" s="34">
        <f t="shared" si="19"/>
        <v>231550.00000000009</v>
      </c>
      <c r="L96" s="28"/>
    </row>
    <row r="97" spans="1:12">
      <c r="A97" s="29">
        <v>66</v>
      </c>
      <c r="B97" s="46">
        <f t="shared" si="17"/>
        <v>1.8200000000000007</v>
      </c>
      <c r="C97" s="34">
        <v>9</v>
      </c>
      <c r="D97" s="34">
        <v>93450</v>
      </c>
      <c r="E97" s="34">
        <f t="shared" si="19"/>
        <v>93450.000000000029</v>
      </c>
      <c r="F97" s="34">
        <f t="shared" si="19"/>
        <v>93108.000000000029</v>
      </c>
      <c r="G97" s="34">
        <f t="shared" si="19"/>
        <v>90560.000000000029</v>
      </c>
      <c r="H97" s="34">
        <f t="shared" si="19"/>
        <v>96756.000000000029</v>
      </c>
      <c r="I97" s="34">
        <f t="shared" si="19"/>
        <v>104400.00000000003</v>
      </c>
      <c r="J97" s="34">
        <f t="shared" si="19"/>
        <v>123336.00000000003</v>
      </c>
      <c r="K97" s="34">
        <f t="shared" si="19"/>
        <v>237098.00000000009</v>
      </c>
      <c r="L97" s="28"/>
    </row>
    <row r="98" spans="1:12">
      <c r="A98" s="29">
        <v>67</v>
      </c>
      <c r="B98" s="46">
        <f t="shared" si="17"/>
        <v>1.8400000000000007</v>
      </c>
      <c r="C98" s="34">
        <v>8</v>
      </c>
      <c r="D98" s="34">
        <v>95120</v>
      </c>
      <c r="E98" s="34">
        <f t="shared" si="19"/>
        <v>95120.000000000029</v>
      </c>
      <c r="F98" s="34">
        <f t="shared" si="19"/>
        <v>94662.000000000029</v>
      </c>
      <c r="G98" s="34">
        <f t="shared" si="19"/>
        <v>92040.000000000029</v>
      </c>
      <c r="H98" s="34">
        <f t="shared" si="19"/>
        <v>98384.000000000029</v>
      </c>
      <c r="I98" s="34">
        <f t="shared" si="19"/>
        <v>106250.00000000003</v>
      </c>
      <c r="J98" s="34">
        <f t="shared" si="19"/>
        <v>125704.00000000003</v>
      </c>
      <c r="K98" s="34">
        <f t="shared" si="19"/>
        <v>242722.00000000009</v>
      </c>
      <c r="L98" s="28"/>
    </row>
    <row r="99" spans="1:12">
      <c r="A99" s="29">
        <v>68</v>
      </c>
      <c r="B99" s="46">
        <f t="shared" si="17"/>
        <v>1.8600000000000008</v>
      </c>
      <c r="C99" s="34">
        <v>6</v>
      </c>
      <c r="D99" s="34">
        <v>96810</v>
      </c>
      <c r="E99" s="34">
        <f t="shared" si="19"/>
        <v>96810.000000000029</v>
      </c>
      <c r="F99" s="34">
        <f t="shared" si="19"/>
        <v>96237.000000000029</v>
      </c>
      <c r="G99" s="34">
        <f t="shared" si="19"/>
        <v>93540.000000000029</v>
      </c>
      <c r="H99" s="34">
        <f t="shared" si="19"/>
        <v>100034.00000000003</v>
      </c>
      <c r="I99" s="34">
        <f t="shared" si="19"/>
        <v>108125.00000000003</v>
      </c>
      <c r="J99" s="34">
        <f t="shared" si="19"/>
        <v>128104.00000000003</v>
      </c>
      <c r="K99" s="34">
        <f t="shared" si="19"/>
        <v>248422.00000000009</v>
      </c>
      <c r="L99" s="28"/>
    </row>
    <row r="100" spans="1:12">
      <c r="A100" s="29">
        <v>69</v>
      </c>
      <c r="B100" s="46">
        <f t="shared" si="17"/>
        <v>1.8800000000000008</v>
      </c>
      <c r="C100" s="34">
        <v>3</v>
      </c>
      <c r="D100" s="34">
        <v>98520</v>
      </c>
      <c r="E100" s="34">
        <f t="shared" si="19"/>
        <v>98520.000000000029</v>
      </c>
      <c r="F100" s="34">
        <f t="shared" si="19"/>
        <v>97833.000000000029</v>
      </c>
      <c r="G100" s="34">
        <f t="shared" si="19"/>
        <v>95060.000000000029</v>
      </c>
      <c r="H100" s="34">
        <f t="shared" si="19"/>
        <v>101706.00000000003</v>
      </c>
      <c r="I100" s="34">
        <f t="shared" si="19"/>
        <v>110025.00000000003</v>
      </c>
      <c r="J100" s="34">
        <f t="shared" si="19"/>
        <v>130536.00000000004</v>
      </c>
      <c r="K100" s="34">
        <f t="shared" si="19"/>
        <v>254198.00000000009</v>
      </c>
      <c r="L100" s="28"/>
    </row>
    <row r="101" spans="1:12">
      <c r="A101" s="29">
        <v>70</v>
      </c>
      <c r="B101" s="29">
        <v>2</v>
      </c>
      <c r="C101" s="34">
        <v>3</v>
      </c>
      <c r="D101" s="34">
        <v>100250</v>
      </c>
      <c r="E101" s="34">
        <f t="shared" si="19"/>
        <v>104200</v>
      </c>
      <c r="F101" s="34">
        <f t="shared" si="19"/>
        <v>102600</v>
      </c>
      <c r="G101" s="34">
        <f t="shared" si="19"/>
        <v>99600</v>
      </c>
      <c r="H101" s="34">
        <f t="shared" si="19"/>
        <v>106700</v>
      </c>
      <c r="I101" s="34">
        <f t="shared" si="19"/>
        <v>115700</v>
      </c>
      <c r="J101" s="34">
        <f t="shared" si="19"/>
        <v>137800</v>
      </c>
      <c r="K101" s="34">
        <f t="shared" si="19"/>
        <v>271450</v>
      </c>
      <c r="L101" s="28"/>
    </row>
    <row r="102" spans="1:12">
      <c r="A102" s="29">
        <v>71</v>
      </c>
      <c r="B102" s="29">
        <f>+B101</f>
        <v>2</v>
      </c>
      <c r="C102" s="34">
        <v>4</v>
      </c>
      <c r="D102" s="34">
        <v>102000</v>
      </c>
      <c r="E102" s="34">
        <f t="shared" ref="E102:K111" si="20">IF(E$3+(E$5*10+($A102-10)*E$6)*$B102&lt;E$4,E$4+E$7,E$3+(E$5*10+($A102-10)*E$6)*$B102+E$7)</f>
        <v>105200</v>
      </c>
      <c r="F102" s="34">
        <f t="shared" si="20"/>
        <v>103650</v>
      </c>
      <c r="G102" s="34">
        <f t="shared" si="20"/>
        <v>100600</v>
      </c>
      <c r="H102" s="34">
        <f t="shared" si="20"/>
        <v>107800</v>
      </c>
      <c r="I102" s="34">
        <f t="shared" si="20"/>
        <v>116950</v>
      </c>
      <c r="J102" s="34">
        <f t="shared" si="20"/>
        <v>139400</v>
      </c>
      <c r="K102" s="34">
        <f t="shared" si="20"/>
        <v>275250</v>
      </c>
      <c r="L102" s="28"/>
    </row>
    <row r="103" spans="1:12">
      <c r="A103" s="29">
        <v>72</v>
      </c>
      <c r="B103" s="29">
        <v>2</v>
      </c>
      <c r="C103" s="34">
        <v>2</v>
      </c>
      <c r="D103" s="34">
        <v>103770</v>
      </c>
      <c r="E103" s="34">
        <f t="shared" si="20"/>
        <v>106200</v>
      </c>
      <c r="F103" s="34">
        <f t="shared" si="20"/>
        <v>104700</v>
      </c>
      <c r="G103" s="34">
        <f t="shared" si="20"/>
        <v>101600</v>
      </c>
      <c r="H103" s="34">
        <f t="shared" si="20"/>
        <v>108900</v>
      </c>
      <c r="I103" s="34">
        <f t="shared" si="20"/>
        <v>118200</v>
      </c>
      <c r="J103" s="34">
        <f t="shared" si="20"/>
        <v>141000</v>
      </c>
      <c r="K103" s="34">
        <f t="shared" si="20"/>
        <v>279050</v>
      </c>
      <c r="L103" s="28"/>
    </row>
    <row r="104" spans="1:12">
      <c r="A104" s="29">
        <v>73</v>
      </c>
      <c r="B104" s="29">
        <v>2</v>
      </c>
      <c r="C104" s="34">
        <v>1</v>
      </c>
      <c r="D104" s="34">
        <v>105560</v>
      </c>
      <c r="E104" s="34">
        <f t="shared" si="20"/>
        <v>107200</v>
      </c>
      <c r="F104" s="34">
        <f t="shared" si="20"/>
        <v>105750</v>
      </c>
      <c r="G104" s="34">
        <f t="shared" si="20"/>
        <v>102600</v>
      </c>
      <c r="H104" s="34">
        <f t="shared" si="20"/>
        <v>110000</v>
      </c>
      <c r="I104" s="34">
        <f t="shared" si="20"/>
        <v>119450</v>
      </c>
      <c r="J104" s="34">
        <f t="shared" si="20"/>
        <v>142600</v>
      </c>
      <c r="K104" s="34">
        <f t="shared" si="20"/>
        <v>282850</v>
      </c>
      <c r="L104" s="28"/>
    </row>
    <row r="105" spans="1:12">
      <c r="A105" s="29">
        <v>74</v>
      </c>
      <c r="B105" s="29">
        <v>2</v>
      </c>
      <c r="C105" s="34">
        <v>1</v>
      </c>
      <c r="D105" s="34">
        <v>107370</v>
      </c>
      <c r="E105" s="34">
        <f t="shared" si="20"/>
        <v>108200</v>
      </c>
      <c r="F105" s="34">
        <f t="shared" si="20"/>
        <v>106800</v>
      </c>
      <c r="G105" s="34">
        <f t="shared" si="20"/>
        <v>103600</v>
      </c>
      <c r="H105" s="34">
        <f t="shared" si="20"/>
        <v>111100</v>
      </c>
      <c r="I105" s="34">
        <f t="shared" si="20"/>
        <v>120700</v>
      </c>
      <c r="J105" s="34">
        <f t="shared" si="20"/>
        <v>144200</v>
      </c>
      <c r="K105" s="34">
        <f t="shared" si="20"/>
        <v>286650</v>
      </c>
      <c r="L105" s="28"/>
    </row>
    <row r="106" spans="1:12">
      <c r="A106" s="29">
        <v>77</v>
      </c>
      <c r="B106" s="29">
        <v>2</v>
      </c>
      <c r="C106" s="34">
        <v>1</v>
      </c>
      <c r="D106" s="34">
        <v>111200</v>
      </c>
      <c r="E106" s="34">
        <f t="shared" si="20"/>
        <v>111200</v>
      </c>
      <c r="F106" s="34">
        <f t="shared" si="20"/>
        <v>109950</v>
      </c>
      <c r="G106" s="34">
        <f t="shared" si="20"/>
        <v>106600</v>
      </c>
      <c r="H106" s="34">
        <f t="shared" si="20"/>
        <v>114400</v>
      </c>
      <c r="I106" s="34">
        <f t="shared" si="20"/>
        <v>124450</v>
      </c>
      <c r="J106" s="34">
        <f t="shared" si="20"/>
        <v>149000</v>
      </c>
      <c r="K106" s="34">
        <f t="shared" si="20"/>
        <v>298050</v>
      </c>
      <c r="L106" s="28"/>
    </row>
    <row r="107" spans="1:12">
      <c r="A107" s="29">
        <v>79</v>
      </c>
      <c r="B107" s="29">
        <v>2</v>
      </c>
      <c r="C107" s="34">
        <v>1</v>
      </c>
      <c r="D107" s="34">
        <v>113200</v>
      </c>
      <c r="E107" s="34">
        <f t="shared" si="20"/>
        <v>113200</v>
      </c>
      <c r="F107" s="34">
        <f t="shared" si="20"/>
        <v>112050</v>
      </c>
      <c r="G107" s="34">
        <f t="shared" si="20"/>
        <v>108600</v>
      </c>
      <c r="H107" s="34">
        <f t="shared" si="20"/>
        <v>116600</v>
      </c>
      <c r="I107" s="34">
        <f t="shared" si="20"/>
        <v>126950</v>
      </c>
      <c r="J107" s="34">
        <f t="shared" si="20"/>
        <v>152200</v>
      </c>
      <c r="K107" s="34">
        <f t="shared" si="20"/>
        <v>305650</v>
      </c>
      <c r="L107" s="28"/>
    </row>
    <row r="108" spans="1:12">
      <c r="A108" s="29">
        <v>82</v>
      </c>
      <c r="B108" s="29">
        <v>2</v>
      </c>
      <c r="C108" s="34">
        <v>1</v>
      </c>
      <c r="D108" s="34">
        <v>116200</v>
      </c>
      <c r="E108" s="34">
        <f t="shared" si="20"/>
        <v>116200</v>
      </c>
      <c r="F108" s="34">
        <f t="shared" si="20"/>
        <v>115200</v>
      </c>
      <c r="G108" s="34">
        <f t="shared" si="20"/>
        <v>111600</v>
      </c>
      <c r="H108" s="34">
        <f t="shared" si="20"/>
        <v>119900</v>
      </c>
      <c r="I108" s="34">
        <f t="shared" si="20"/>
        <v>130700</v>
      </c>
      <c r="J108" s="34">
        <f t="shared" si="20"/>
        <v>157000</v>
      </c>
      <c r="K108" s="34">
        <f t="shared" si="20"/>
        <v>317050</v>
      </c>
      <c r="L108" s="28"/>
    </row>
    <row r="109" spans="1:12">
      <c r="A109" s="29">
        <v>85</v>
      </c>
      <c r="B109" s="29">
        <v>2</v>
      </c>
      <c r="C109" s="34">
        <v>2</v>
      </c>
      <c r="D109" s="34">
        <v>119200</v>
      </c>
      <c r="E109" s="34">
        <f t="shared" si="20"/>
        <v>119200</v>
      </c>
      <c r="F109" s="34">
        <f t="shared" si="20"/>
        <v>118350</v>
      </c>
      <c r="G109" s="34">
        <f t="shared" si="20"/>
        <v>114600</v>
      </c>
      <c r="H109" s="34">
        <f t="shared" si="20"/>
        <v>123200</v>
      </c>
      <c r="I109" s="34">
        <f t="shared" si="20"/>
        <v>134450</v>
      </c>
      <c r="J109" s="34">
        <f t="shared" si="20"/>
        <v>161800</v>
      </c>
      <c r="K109" s="34">
        <f t="shared" si="20"/>
        <v>328450</v>
      </c>
      <c r="L109" s="28"/>
    </row>
    <row r="110" spans="1:12">
      <c r="A110" s="29">
        <v>92</v>
      </c>
      <c r="B110" s="29">
        <v>2</v>
      </c>
      <c r="C110" s="34">
        <v>1</v>
      </c>
      <c r="D110" s="34">
        <v>126200</v>
      </c>
      <c r="E110" s="34">
        <f t="shared" si="20"/>
        <v>126200</v>
      </c>
      <c r="F110" s="34">
        <f t="shared" si="20"/>
        <v>125700</v>
      </c>
      <c r="G110" s="34">
        <f t="shared" si="20"/>
        <v>121600</v>
      </c>
      <c r="H110" s="34">
        <f t="shared" si="20"/>
        <v>130900</v>
      </c>
      <c r="I110" s="34">
        <f t="shared" si="20"/>
        <v>143200</v>
      </c>
      <c r="J110" s="34">
        <f t="shared" si="20"/>
        <v>173000</v>
      </c>
      <c r="K110" s="34">
        <f t="shared" si="20"/>
        <v>355050</v>
      </c>
      <c r="L110" s="28"/>
    </row>
    <row r="111" spans="1:12">
      <c r="A111" s="29">
        <v>94</v>
      </c>
      <c r="B111" s="29">
        <v>2</v>
      </c>
      <c r="C111" s="34">
        <v>1</v>
      </c>
      <c r="D111" s="34">
        <v>128200</v>
      </c>
      <c r="E111" s="34">
        <f t="shared" si="20"/>
        <v>128200</v>
      </c>
      <c r="F111" s="34">
        <f t="shared" si="20"/>
        <v>127800</v>
      </c>
      <c r="G111" s="34">
        <f t="shared" si="20"/>
        <v>123600</v>
      </c>
      <c r="H111" s="34">
        <f t="shared" si="20"/>
        <v>133100</v>
      </c>
      <c r="I111" s="34">
        <f t="shared" si="20"/>
        <v>145700</v>
      </c>
      <c r="J111" s="34">
        <f t="shared" si="20"/>
        <v>176200</v>
      </c>
      <c r="K111" s="34">
        <f t="shared" si="20"/>
        <v>362650</v>
      </c>
      <c r="L111" s="28"/>
    </row>
    <row r="112" spans="1:12">
      <c r="A112" s="29">
        <v>96</v>
      </c>
      <c r="B112" s="29">
        <v>2</v>
      </c>
      <c r="C112" s="34">
        <v>1</v>
      </c>
      <c r="D112" s="34">
        <v>130200</v>
      </c>
      <c r="E112" s="34">
        <f t="shared" ref="E112:K121" si="21">IF(E$3+(E$5*10+($A112-10)*E$6)*$B112&lt;E$4,E$4+E$7,E$3+(E$5*10+($A112-10)*E$6)*$B112+E$7)</f>
        <v>130200</v>
      </c>
      <c r="F112" s="34">
        <f t="shared" si="21"/>
        <v>129900</v>
      </c>
      <c r="G112" s="34">
        <f t="shared" si="21"/>
        <v>125600</v>
      </c>
      <c r="H112" s="34">
        <f t="shared" si="21"/>
        <v>135300</v>
      </c>
      <c r="I112" s="34">
        <f t="shared" si="21"/>
        <v>148200</v>
      </c>
      <c r="J112" s="34">
        <f t="shared" si="21"/>
        <v>179400</v>
      </c>
      <c r="K112" s="34">
        <f t="shared" si="21"/>
        <v>370250</v>
      </c>
      <c r="L112" s="28"/>
    </row>
    <row r="113" spans="1:12">
      <c r="A113" s="29">
        <v>104</v>
      </c>
      <c r="B113" s="29">
        <v>2</v>
      </c>
      <c r="C113" s="34">
        <v>1</v>
      </c>
      <c r="D113" s="34">
        <v>138200</v>
      </c>
      <c r="E113" s="34">
        <f t="shared" si="21"/>
        <v>138200</v>
      </c>
      <c r="F113" s="34">
        <f t="shared" si="21"/>
        <v>138300</v>
      </c>
      <c r="G113" s="34">
        <f t="shared" si="21"/>
        <v>133600</v>
      </c>
      <c r="H113" s="34">
        <f t="shared" si="21"/>
        <v>144100</v>
      </c>
      <c r="I113" s="34">
        <f t="shared" si="21"/>
        <v>158200</v>
      </c>
      <c r="J113" s="34">
        <f t="shared" si="21"/>
        <v>192200</v>
      </c>
      <c r="K113" s="34">
        <f t="shared" si="21"/>
        <v>400650</v>
      </c>
      <c r="L113" s="28"/>
    </row>
    <row r="114" spans="1:12">
      <c r="A114" s="29">
        <v>108</v>
      </c>
      <c r="B114" s="29">
        <v>2</v>
      </c>
      <c r="C114" s="34">
        <v>1</v>
      </c>
      <c r="D114" s="34">
        <v>144876</v>
      </c>
      <c r="E114" s="34">
        <f t="shared" si="21"/>
        <v>142200</v>
      </c>
      <c r="F114" s="34">
        <f t="shared" si="21"/>
        <v>142500</v>
      </c>
      <c r="G114" s="34">
        <f t="shared" si="21"/>
        <v>137600</v>
      </c>
      <c r="H114" s="34">
        <f t="shared" si="21"/>
        <v>148500</v>
      </c>
      <c r="I114" s="34">
        <f t="shared" si="21"/>
        <v>163200</v>
      </c>
      <c r="J114" s="34">
        <f t="shared" si="21"/>
        <v>198600</v>
      </c>
      <c r="K114" s="34">
        <f t="shared" si="21"/>
        <v>415850</v>
      </c>
      <c r="L114" s="28"/>
    </row>
    <row r="115" spans="1:12">
      <c r="A115" s="29">
        <v>114</v>
      </c>
      <c r="B115" s="29">
        <v>2</v>
      </c>
      <c r="C115" s="34">
        <v>1</v>
      </c>
      <c r="D115" s="34">
        <v>158214</v>
      </c>
      <c r="E115" s="34">
        <f t="shared" si="21"/>
        <v>148200</v>
      </c>
      <c r="F115" s="34">
        <f t="shared" si="21"/>
        <v>148800</v>
      </c>
      <c r="G115" s="34">
        <f t="shared" si="21"/>
        <v>143600</v>
      </c>
      <c r="H115" s="34">
        <f t="shared" si="21"/>
        <v>155100</v>
      </c>
      <c r="I115" s="34">
        <f t="shared" si="21"/>
        <v>170700</v>
      </c>
      <c r="J115" s="34">
        <f t="shared" si="21"/>
        <v>208200</v>
      </c>
      <c r="K115" s="34">
        <f t="shared" si="21"/>
        <v>438650</v>
      </c>
      <c r="L115" s="28"/>
    </row>
    <row r="116" spans="1:12">
      <c r="A116" s="29">
        <v>116</v>
      </c>
      <c r="B116" s="29">
        <v>2</v>
      </c>
      <c r="C116" s="34">
        <v>1</v>
      </c>
      <c r="D116" s="34">
        <v>150200</v>
      </c>
      <c r="E116" s="34">
        <f t="shared" si="21"/>
        <v>150200</v>
      </c>
      <c r="F116" s="34">
        <f t="shared" si="21"/>
        <v>150900</v>
      </c>
      <c r="G116" s="34">
        <f t="shared" si="21"/>
        <v>145600</v>
      </c>
      <c r="H116" s="34">
        <f t="shared" si="21"/>
        <v>157300</v>
      </c>
      <c r="I116" s="34">
        <f t="shared" si="21"/>
        <v>173200</v>
      </c>
      <c r="J116" s="34">
        <f t="shared" si="21"/>
        <v>211400</v>
      </c>
      <c r="K116" s="34">
        <f t="shared" si="21"/>
        <v>446250</v>
      </c>
      <c r="L116" s="28"/>
    </row>
    <row r="117" spans="1:12">
      <c r="A117" s="29">
        <v>123</v>
      </c>
      <c r="B117" s="29">
        <v>2</v>
      </c>
      <c r="C117" s="34">
        <v>1</v>
      </c>
      <c r="D117" s="34">
        <v>179436</v>
      </c>
      <c r="E117" s="34">
        <f t="shared" si="21"/>
        <v>157200</v>
      </c>
      <c r="F117" s="34">
        <f t="shared" si="21"/>
        <v>158250</v>
      </c>
      <c r="G117" s="34">
        <f t="shared" si="21"/>
        <v>152600</v>
      </c>
      <c r="H117" s="34">
        <f t="shared" si="21"/>
        <v>165000</v>
      </c>
      <c r="I117" s="34">
        <f t="shared" si="21"/>
        <v>181950</v>
      </c>
      <c r="J117" s="34">
        <f t="shared" si="21"/>
        <v>222600</v>
      </c>
      <c r="K117" s="34">
        <f t="shared" si="21"/>
        <v>472850</v>
      </c>
      <c r="L117" s="28"/>
    </row>
    <row r="118" spans="1:12">
      <c r="A118" s="29">
        <v>125</v>
      </c>
      <c r="B118" s="29">
        <v>2</v>
      </c>
      <c r="C118" s="34">
        <v>1</v>
      </c>
      <c r="D118" s="34">
        <v>184350</v>
      </c>
      <c r="E118" s="34">
        <f t="shared" si="21"/>
        <v>159200</v>
      </c>
      <c r="F118" s="34">
        <f t="shared" si="21"/>
        <v>160350</v>
      </c>
      <c r="G118" s="34">
        <f t="shared" si="21"/>
        <v>154600</v>
      </c>
      <c r="H118" s="34">
        <f t="shared" si="21"/>
        <v>167200</v>
      </c>
      <c r="I118" s="34">
        <f t="shared" si="21"/>
        <v>184450</v>
      </c>
      <c r="J118" s="34">
        <f t="shared" si="21"/>
        <v>225800</v>
      </c>
      <c r="K118" s="34">
        <f t="shared" si="21"/>
        <v>480450</v>
      </c>
      <c r="L118" s="28"/>
    </row>
    <row r="119" spans="1:12">
      <c r="A119" s="29">
        <v>140</v>
      </c>
      <c r="B119" s="29">
        <v>2</v>
      </c>
      <c r="C119" s="34">
        <v>1</v>
      </c>
      <c r="D119" s="34">
        <v>220764</v>
      </c>
      <c r="E119" s="34">
        <f t="shared" si="21"/>
        <v>174200</v>
      </c>
      <c r="F119" s="34">
        <f t="shared" si="21"/>
        <v>176100</v>
      </c>
      <c r="G119" s="34">
        <f t="shared" si="21"/>
        <v>169600</v>
      </c>
      <c r="H119" s="34">
        <f t="shared" si="21"/>
        <v>183700</v>
      </c>
      <c r="I119" s="34">
        <f t="shared" si="21"/>
        <v>203200</v>
      </c>
      <c r="J119" s="34">
        <f t="shared" si="21"/>
        <v>249800</v>
      </c>
      <c r="K119" s="34">
        <f t="shared" si="21"/>
        <v>537450</v>
      </c>
      <c r="L119" s="28"/>
    </row>
    <row r="120" spans="1:12">
      <c r="A120" s="29">
        <v>155</v>
      </c>
      <c r="B120" s="29">
        <v>2</v>
      </c>
      <c r="C120" s="34">
        <v>1</v>
      </c>
      <c r="D120" s="34">
        <v>266700</v>
      </c>
      <c r="E120" s="34">
        <f t="shared" si="21"/>
        <v>189200</v>
      </c>
      <c r="F120" s="34">
        <f t="shared" si="21"/>
        <v>191850</v>
      </c>
      <c r="G120" s="34">
        <f t="shared" si="21"/>
        <v>184600</v>
      </c>
      <c r="H120" s="34">
        <f t="shared" si="21"/>
        <v>200200</v>
      </c>
      <c r="I120" s="34">
        <f t="shared" si="21"/>
        <v>221950</v>
      </c>
      <c r="J120" s="34">
        <f t="shared" si="21"/>
        <v>273800</v>
      </c>
      <c r="K120" s="34">
        <f t="shared" si="21"/>
        <v>594450</v>
      </c>
      <c r="L120" s="28"/>
    </row>
    <row r="121" spans="1:12">
      <c r="A121" s="29">
        <v>179</v>
      </c>
      <c r="B121" s="29">
        <v>2</v>
      </c>
      <c r="C121" s="34">
        <v>1</v>
      </c>
      <c r="D121" s="34">
        <v>344244</v>
      </c>
      <c r="E121" s="34">
        <f t="shared" si="21"/>
        <v>213200</v>
      </c>
      <c r="F121" s="34">
        <f t="shared" si="21"/>
        <v>217050</v>
      </c>
      <c r="G121" s="34">
        <f t="shared" si="21"/>
        <v>208600</v>
      </c>
      <c r="H121" s="34">
        <f t="shared" si="21"/>
        <v>226600</v>
      </c>
      <c r="I121" s="34">
        <f t="shared" si="21"/>
        <v>251950</v>
      </c>
      <c r="J121" s="34">
        <f t="shared" si="21"/>
        <v>312200</v>
      </c>
      <c r="K121" s="34">
        <f t="shared" si="21"/>
        <v>685650</v>
      </c>
      <c r="L121" s="28"/>
    </row>
    <row r="122" spans="1:12">
      <c r="C122" s="37">
        <f>SUM(C31:C121)</f>
        <v>40602</v>
      </c>
    </row>
    <row r="123" spans="1:12">
      <c r="C123" s="39">
        <f>SUM(C31:C121)</f>
        <v>40602</v>
      </c>
      <c r="D123" s="39">
        <f t="shared" ref="D123:K123" si="22">+SUMPRODUCT(D31:D121,$C$31:$C$121)/SUM($C$31:$C$121)</f>
        <v>47761.044792621047</v>
      </c>
      <c r="E123" s="39">
        <f t="shared" si="22"/>
        <v>47783.348603517072</v>
      </c>
      <c r="F123" s="39">
        <f t="shared" si="22"/>
        <v>51391.35479163588</v>
      </c>
      <c r="G123" s="39">
        <f t="shared" si="22"/>
        <v>50829.861706319884</v>
      </c>
      <c r="H123" s="39">
        <f t="shared" si="22"/>
        <v>53052.847876951877</v>
      </c>
      <c r="I123" s="39">
        <f t="shared" si="22"/>
        <v>54737.32713289986</v>
      </c>
      <c r="J123" s="39">
        <f t="shared" si="22"/>
        <v>59767.778730111815</v>
      </c>
      <c r="K123" s="39">
        <f t="shared" si="22"/>
        <v>86123.474484015562</v>
      </c>
    </row>
  </sheetData>
  <mergeCells count="1">
    <mergeCell ref="C29:D29"/>
  </mergeCells>
  <conditionalFormatting sqref="L22:L26">
    <cfRule type="colorScale" priority="15">
      <colorScale>
        <cfvo type="min"/>
        <cfvo type="max"/>
        <color rgb="FFFFEF9C"/>
        <color rgb="FF63BE7B"/>
      </colorScale>
    </cfRule>
  </conditionalFormatting>
  <conditionalFormatting sqref="L22:L26">
    <cfRule type="colorScale" priority="13">
      <colorScale>
        <cfvo type="min"/>
        <cfvo type="max"/>
        <color rgb="FFFFEF9C"/>
        <color rgb="FF63BE7B"/>
      </colorScale>
    </cfRule>
  </conditionalFormatting>
  <conditionalFormatting sqref="G14:H18">
    <cfRule type="colorScale" priority="8">
      <colorScale>
        <cfvo type="min"/>
        <cfvo type="percentile" val="50"/>
        <cfvo type="max"/>
        <color rgb="FFF8696B"/>
        <color rgb="FFFFEB84"/>
        <color rgb="FF63BE7B"/>
      </colorScale>
    </cfRule>
  </conditionalFormatting>
  <conditionalFormatting sqref="G22:H26">
    <cfRule type="colorScale" priority="7">
      <colorScale>
        <cfvo type="min"/>
        <cfvo type="percentile" val="50"/>
        <cfvo type="max"/>
        <color rgb="FFF8696B"/>
        <color rgb="FFFFEB84"/>
        <color rgb="FF63BE7B"/>
      </colorScale>
    </cfRule>
  </conditionalFormatting>
  <conditionalFormatting sqref="I22:J26">
    <cfRule type="colorScale" priority="5">
      <colorScale>
        <cfvo type="min"/>
        <cfvo type="percentile" val="50"/>
        <cfvo type="max"/>
        <color rgb="FFF8696B"/>
        <color rgb="FFFFEB84"/>
        <color rgb="FF63BE7B"/>
      </colorScale>
    </cfRule>
  </conditionalFormatting>
  <conditionalFormatting sqref="K22:K26">
    <cfRule type="colorScale" priority="3">
      <colorScale>
        <cfvo type="min"/>
        <cfvo type="max"/>
        <color rgb="FFFFEF9C"/>
        <color rgb="FF63BE7B"/>
      </colorScale>
    </cfRule>
  </conditionalFormatting>
  <conditionalFormatting sqref="I14:K18">
    <cfRule type="colorScale" priority="1">
      <colorScale>
        <cfvo type="min"/>
        <cfvo type="percentile" val="50"/>
        <cfvo type="max"/>
        <color rgb="FFF8696B"/>
        <color rgb="FFFFEB84"/>
        <color rgb="FF63BE7B"/>
      </colorScale>
    </cfRule>
  </conditionalFormatting>
  <pageMargins left="0" right="0" top="0" bottom="0" header="0.31496062992126" footer="0.31496062992126"/>
  <pageSetup paperSize="9" scale="70"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04"/>
  <sheetViews>
    <sheetView workbookViewId="0">
      <selection activeCell="K8" sqref="K8"/>
    </sheetView>
  </sheetViews>
  <sheetFormatPr defaultColWidth="8.85546875" defaultRowHeight="17.25" outlineLevelRow="1"/>
  <cols>
    <col min="1" max="1" width="7.42578125" style="23" customWidth="1"/>
    <col min="2" max="2" width="9.140625" style="47" customWidth="1"/>
    <col min="3" max="3" width="15.28515625" style="23" bestFit="1" customWidth="1"/>
    <col min="4" max="4" width="16.140625" style="24" bestFit="1" customWidth="1"/>
    <col min="5" max="5" width="12.42578125" style="23" bestFit="1" customWidth="1"/>
    <col min="6" max="6" width="11.42578125" style="23" bestFit="1" customWidth="1"/>
    <col min="7" max="7" width="11.28515625" style="23" bestFit="1" customWidth="1"/>
    <col min="8" max="8" width="11.28515625" style="23" customWidth="1"/>
    <col min="9" max="9" width="13.42578125" style="23" bestFit="1" customWidth="1"/>
    <col min="10" max="10" width="13.42578125" style="23" customWidth="1"/>
    <col min="11" max="11" width="12.140625" style="23" bestFit="1" customWidth="1"/>
    <col min="12" max="16384" width="8.85546875" style="23"/>
  </cols>
  <sheetData>
    <row r="1" spans="1:11">
      <c r="A1" s="23" t="s">
        <v>185</v>
      </c>
      <c r="E1" s="363">
        <f>+ընդհանուր!F6</f>
        <v>6</v>
      </c>
      <c r="F1" s="363">
        <f>+ընդհանուր!G6</f>
        <v>6</v>
      </c>
      <c r="G1" s="363">
        <f>+ընդհանուր!H6</f>
        <v>6</v>
      </c>
      <c r="H1" s="363">
        <f>+ընդհանուր!I6</f>
        <v>6</v>
      </c>
      <c r="I1" s="363">
        <f>+ընդհանուր!J6</f>
        <v>6</v>
      </c>
      <c r="J1" s="363">
        <f>+ընդհանուր!K6</f>
        <v>6</v>
      </c>
    </row>
    <row r="2" spans="1:11" ht="34.5">
      <c r="C2" s="26"/>
      <c r="D2" s="26"/>
      <c r="E2" s="354" t="s">
        <v>217</v>
      </c>
      <c r="F2" s="354" t="s">
        <v>218</v>
      </c>
      <c r="G2" s="354" t="s">
        <v>219</v>
      </c>
      <c r="H2" s="354" t="s">
        <v>220</v>
      </c>
      <c r="I2" s="354" t="s">
        <v>221</v>
      </c>
      <c r="J2" s="354" t="s">
        <v>222</v>
      </c>
      <c r="K2" s="223">
        <v>2026</v>
      </c>
    </row>
    <row r="3" spans="1:11">
      <c r="C3" s="26" t="s">
        <v>22</v>
      </c>
      <c r="D3" s="26"/>
      <c r="E3" s="41">
        <f>+ընդհանուր!E10</f>
        <v>21000</v>
      </c>
      <c r="F3" s="41">
        <f>+ընդհանուր!F10</f>
        <v>36000</v>
      </c>
      <c r="G3" s="41">
        <f>+ընդհանուր!G10</f>
        <v>36000</v>
      </c>
      <c r="H3" s="41">
        <f>+ընդհանուր!H10</f>
        <v>37000</v>
      </c>
      <c r="I3" s="41">
        <f>+ընդհանուր!I10</f>
        <v>37000</v>
      </c>
      <c r="J3" s="41">
        <f>+ընդհանուր!J10</f>
        <v>38000</v>
      </c>
      <c r="K3" s="41">
        <f>+ընդհանուր!K10</f>
        <v>39500</v>
      </c>
    </row>
    <row r="4" spans="1:11">
      <c r="C4" s="26" t="s">
        <v>23</v>
      </c>
      <c r="D4" s="26"/>
      <c r="E4" s="41">
        <f>+ընդհանուր!E11</f>
        <v>31600</v>
      </c>
      <c r="F4" s="41">
        <f>+ընդհանուր!F11</f>
        <v>0</v>
      </c>
      <c r="G4" s="41">
        <f>+ընդհանուր!G11</f>
        <v>0</v>
      </c>
      <c r="H4" s="41">
        <f>+ընդհանուր!H11</f>
        <v>0</v>
      </c>
      <c r="I4" s="41">
        <f>+ընդհանուր!I11</f>
        <v>0</v>
      </c>
      <c r="J4" s="41">
        <f>+ընդհանուր!J11</f>
        <v>0</v>
      </c>
      <c r="K4" s="41">
        <f>+ընդհանուր!K11</f>
        <v>0</v>
      </c>
    </row>
    <row r="5" spans="1:11">
      <c r="C5" s="26" t="s">
        <v>24</v>
      </c>
      <c r="D5" s="26"/>
      <c r="E5" s="41">
        <f>+ընդհանուր!E16</f>
        <v>950</v>
      </c>
      <c r="F5" s="41">
        <f>+ընդհանուր!F16</f>
        <v>0</v>
      </c>
      <c r="G5" s="41">
        <f>+ընդհանուր!G16</f>
        <v>0</v>
      </c>
      <c r="H5" s="41">
        <f>+ընդհանուր!H16</f>
        <v>0</v>
      </c>
      <c r="I5" s="41">
        <f>+ընդհանուր!I16</f>
        <v>0</v>
      </c>
      <c r="J5" s="41">
        <f>+ընդհանուր!J16</f>
        <v>0</v>
      </c>
      <c r="K5" s="41">
        <f>+ընդհանուր!K16</f>
        <v>0</v>
      </c>
    </row>
    <row r="6" spans="1:11">
      <c r="C6" s="26" t="s">
        <v>25</v>
      </c>
      <c r="D6" s="26"/>
      <c r="E6" s="41">
        <f>+ընդհանուր!E17</f>
        <v>500</v>
      </c>
      <c r="F6" s="41">
        <f>+ընդհանուր!F17</f>
        <v>525</v>
      </c>
      <c r="G6" s="41">
        <f>+ընդհանուր!G17</f>
        <v>500</v>
      </c>
      <c r="H6" s="41">
        <f>+ընդհանուր!H17</f>
        <v>550</v>
      </c>
      <c r="I6" s="41">
        <f>+ընդհանուր!I17</f>
        <v>625</v>
      </c>
      <c r="J6" s="41">
        <f>+ընդհանուր!J17</f>
        <v>800</v>
      </c>
      <c r="K6" s="41">
        <f>+ընդհանուր!K17</f>
        <v>1900</v>
      </c>
    </row>
    <row r="7" spans="1:11">
      <c r="C7" s="26" t="s">
        <v>37</v>
      </c>
      <c r="D7" s="26"/>
      <c r="E7" s="41">
        <f t="shared" ref="E7" si="0">+E3*0</f>
        <v>0</v>
      </c>
      <c r="F7" s="41">
        <f t="shared" ref="F7" si="1">+F3*0</f>
        <v>0</v>
      </c>
      <c r="G7" s="41">
        <f t="shared" ref="G7:H7" si="2">+G3*0</f>
        <v>0</v>
      </c>
      <c r="H7" s="41">
        <f t="shared" si="2"/>
        <v>0</v>
      </c>
      <c r="I7" s="41">
        <f t="shared" ref="I7:J7" si="3">+I3*0</f>
        <v>0</v>
      </c>
      <c r="J7" s="41">
        <f t="shared" si="3"/>
        <v>0</v>
      </c>
      <c r="K7" s="41">
        <f t="shared" ref="K7" si="4">+K3*0</f>
        <v>0</v>
      </c>
    </row>
    <row r="8" spans="1:11">
      <c r="C8" s="25" t="s">
        <v>28</v>
      </c>
      <c r="D8" s="23"/>
      <c r="E8" s="230">
        <f>SUMPRODUCT($C31:$C100,E31:E100)*E1/1000000000</f>
        <v>14.478483816000001</v>
      </c>
      <c r="F8" s="230">
        <f t="shared" ref="F8:J8" si="5">SUMPRODUCT($C31:$C100,F31:F100)*F1/1000000000</f>
        <v>15.97289589</v>
      </c>
      <c r="G8" s="613">
        <f t="shared" si="5"/>
        <v>15.801529800000001</v>
      </c>
      <c r="H8" s="613">
        <f t="shared" si="5"/>
        <v>16.487989979999998</v>
      </c>
      <c r="I8" s="613">
        <f t="shared" si="5"/>
        <v>17.00208825</v>
      </c>
      <c r="J8" s="613">
        <f t="shared" si="5"/>
        <v>18.545378880000001</v>
      </c>
      <c r="K8" s="613">
        <f>SUMPRODUCT($C31:$C100,K31:K100)*12/1000000000</f>
        <v>53.202157679999999</v>
      </c>
    </row>
    <row r="9" spans="1:11">
      <c r="C9" s="25" t="s">
        <v>29</v>
      </c>
      <c r="D9" s="23"/>
    </row>
    <row r="10" spans="1:11" hidden="1" outlineLevel="1">
      <c r="I10" s="37"/>
      <c r="J10" s="37"/>
      <c r="K10" s="37"/>
    </row>
    <row r="11" spans="1:11" ht="17.25" hidden="1" customHeight="1" outlineLevel="1">
      <c r="D11" s="23"/>
      <c r="E11" s="195"/>
      <c r="F11" s="195"/>
      <c r="G11" s="195"/>
      <c r="H11" s="195"/>
      <c r="I11" s="195"/>
      <c r="J11" s="195"/>
      <c r="K11" s="195"/>
    </row>
    <row r="12" spans="1:11" ht="34.5" hidden="1" outlineLevel="1">
      <c r="D12" s="201" t="s">
        <v>178</v>
      </c>
      <c r="E12" s="207" t="s">
        <v>189</v>
      </c>
      <c r="F12" s="207"/>
      <c r="G12" s="231" t="s">
        <v>181</v>
      </c>
      <c r="H12" s="231"/>
      <c r="I12" s="231" t="s">
        <v>181</v>
      </c>
      <c r="J12" s="231"/>
      <c r="K12" s="231" t="s">
        <v>181</v>
      </c>
    </row>
    <row r="13" spans="1:11" hidden="1" outlineLevel="1">
      <c r="D13" s="202" t="s">
        <v>180</v>
      </c>
      <c r="E13" s="203">
        <f t="shared" ref="E13" si="6">SUMPRODUCT($C31:$C100,E31:E100)/SUM($C31:$C100)</f>
        <v>42121.921449518224</v>
      </c>
      <c r="F13" s="203"/>
      <c r="G13" s="214" t="e">
        <f>+#REF!/#REF!-1</f>
        <v>#REF!</v>
      </c>
      <c r="H13" s="214"/>
      <c r="I13" s="214" t="e">
        <f>+#REF!/#REF!-1</f>
        <v>#REF!</v>
      </c>
      <c r="J13" s="214"/>
      <c r="K13" s="214" t="e">
        <f>+E13/#REF!-1</f>
        <v>#REF!</v>
      </c>
    </row>
    <row r="14" spans="1:11" hidden="1" outlineLevel="1">
      <c r="D14" s="197" t="s">
        <v>170</v>
      </c>
      <c r="E14" s="206">
        <f t="shared" ref="E14" si="7">SUMPRODUCT($C31:$C41,E31:E41)/SUM($C31:$C41)</f>
        <v>31600</v>
      </c>
      <c r="F14" s="206"/>
      <c r="G14" s="225" t="e">
        <f>+#REF!/#REF!-1</f>
        <v>#REF!</v>
      </c>
      <c r="H14" s="225"/>
      <c r="I14" s="225" t="e">
        <f>+#REF!/#REF!-1</f>
        <v>#REF!</v>
      </c>
      <c r="J14" s="225"/>
      <c r="K14" s="225" t="e">
        <f>+E14/#REF!-1</f>
        <v>#REF!</v>
      </c>
    </row>
    <row r="15" spans="1:11" hidden="1" outlineLevel="1">
      <c r="D15" s="197" t="s">
        <v>171</v>
      </c>
      <c r="E15" s="206">
        <f t="shared" ref="E15" si="8">SUMPRODUCT($C31:$C51,E31:E51)/SUM($C31:$C51)</f>
        <v>33820.313783918013</v>
      </c>
      <c r="F15" s="206"/>
      <c r="G15" s="225" t="e">
        <f>+#REF!/#REF!-1</f>
        <v>#REF!</v>
      </c>
      <c r="H15" s="225"/>
      <c r="I15" s="225" t="e">
        <f>+#REF!/#REF!-1</f>
        <v>#REF!</v>
      </c>
      <c r="J15" s="225"/>
      <c r="K15" s="225" t="e">
        <f>+E15/#REF!-1</f>
        <v>#REF!</v>
      </c>
    </row>
    <row r="16" spans="1:11" hidden="1" outlineLevel="1">
      <c r="D16" s="197" t="s">
        <v>172</v>
      </c>
      <c r="E16" s="206">
        <f t="shared" ref="E16" si="9">SUMPRODUCT($C31:$C61,E31:E61)/SUM($C31:$C61)</f>
        <v>36816.744782976974</v>
      </c>
      <c r="F16" s="206"/>
      <c r="G16" s="225" t="e">
        <f>+#REF!/#REF!-1</f>
        <v>#REF!</v>
      </c>
      <c r="H16" s="225"/>
      <c r="I16" s="225" t="e">
        <f>+#REF!/#REF!-1</f>
        <v>#REF!</v>
      </c>
      <c r="J16" s="225"/>
      <c r="K16" s="225" t="e">
        <f>+E16/#REF!-1</f>
        <v>#REF!</v>
      </c>
    </row>
    <row r="17" spans="1:11" hidden="1" outlineLevel="1">
      <c r="D17" s="197" t="s">
        <v>173</v>
      </c>
      <c r="E17" s="206">
        <f t="shared" ref="E17" si="10">SUMPRODUCT($C31:$C71,E31:E71)/SUM($C31:$C71)</f>
        <v>39377.563999355982</v>
      </c>
      <c r="F17" s="206"/>
      <c r="G17" s="225" t="e">
        <f>+#REF!/#REF!-1</f>
        <v>#REF!</v>
      </c>
      <c r="H17" s="225"/>
      <c r="I17" s="225" t="e">
        <f>+#REF!/#REF!-1</f>
        <v>#REF!</v>
      </c>
      <c r="J17" s="225"/>
      <c r="K17" s="225" t="e">
        <f>+E17/#REF!-1</f>
        <v>#REF!</v>
      </c>
    </row>
    <row r="18" spans="1:11" hidden="1" outlineLevel="1">
      <c r="D18" s="197" t="s">
        <v>176</v>
      </c>
      <c r="E18" s="206">
        <f t="shared" ref="E18" si="11">SUMPRODUCT($C72:$C100,E72:E100)/SUM($C72:$C100)</f>
        <v>60064.241578947374</v>
      </c>
      <c r="F18" s="206"/>
      <c r="G18" s="225" t="e">
        <f>+#REF!/#REF!-1</f>
        <v>#REF!</v>
      </c>
      <c r="H18" s="225"/>
      <c r="I18" s="225" t="e">
        <f>+#REF!/#REF!-1</f>
        <v>#REF!</v>
      </c>
      <c r="J18" s="225"/>
      <c r="K18" s="225" t="e">
        <f>+E18/#REF!-1</f>
        <v>#REF!</v>
      </c>
    </row>
    <row r="19" spans="1:11" hidden="1" outlineLevel="1">
      <c r="D19" s="23"/>
    </row>
    <row r="20" spans="1:11" hidden="1" outlineLevel="1">
      <c r="D20" s="201" t="s">
        <v>178</v>
      </c>
      <c r="E20" s="200" t="s">
        <v>179</v>
      </c>
      <c r="F20" s="200"/>
      <c r="G20" s="211">
        <v>2023</v>
      </c>
      <c r="H20" s="211"/>
      <c r="I20" s="212" t="s">
        <v>181</v>
      </c>
      <c r="J20" s="212"/>
      <c r="K20" s="215" t="s">
        <v>179</v>
      </c>
    </row>
    <row r="21" spans="1:11" hidden="1" outlineLevel="1">
      <c r="D21" s="202" t="s">
        <v>180</v>
      </c>
      <c r="E21" s="203">
        <f t="shared" ref="E21" si="12">SUMPRODUCT($C31:$C100,E31:E100)/SUM($C31:$C100)</f>
        <v>42121.921449518224</v>
      </c>
      <c r="F21" s="203"/>
      <c r="G21" s="213" t="e">
        <f>#REF!-#REF!</f>
        <v>#REF!</v>
      </c>
      <c r="H21" s="213"/>
      <c r="I21" s="214" t="e">
        <f>#REF!/#REF!-100%</f>
        <v>#REF!</v>
      </c>
      <c r="J21" s="214"/>
      <c r="K21" s="217" t="e">
        <f>E21-#REF!</f>
        <v>#REF!</v>
      </c>
    </row>
    <row r="22" spans="1:11" hidden="1" outlineLevel="1">
      <c r="D22" s="197" t="s">
        <v>170</v>
      </c>
      <c r="E22" s="206">
        <f t="shared" ref="E22" si="13">SUMPRODUCT($C31:$C41,E31:E41)/SUM($C31:$C41)</f>
        <v>31600</v>
      </c>
      <c r="F22" s="206"/>
      <c r="G22" s="198" t="e">
        <f>#REF!-#REF!</f>
        <v>#REF!</v>
      </c>
      <c r="H22" s="198"/>
      <c r="I22" s="205" t="e">
        <f>#REF!/#REF!-100%</f>
        <v>#REF!</v>
      </c>
      <c r="J22" s="205"/>
      <c r="K22" s="198" t="e">
        <f>E22-#REF!</f>
        <v>#REF!</v>
      </c>
    </row>
    <row r="23" spans="1:11" hidden="1" outlineLevel="1">
      <c r="D23" s="197" t="s">
        <v>177</v>
      </c>
      <c r="E23" s="206">
        <f t="shared" ref="E23" si="14">SUMPRODUCT($C42:$C51,E42:E51)/SUM($C42:$C51)</f>
        <v>34163.877274386112</v>
      </c>
      <c r="F23" s="206"/>
      <c r="G23" s="198" t="e">
        <f>#REF!-#REF!</f>
        <v>#REF!</v>
      </c>
      <c r="H23" s="198"/>
      <c r="I23" s="205" t="e">
        <f>#REF!/#REF!-100%</f>
        <v>#REF!</v>
      </c>
      <c r="J23" s="205"/>
      <c r="K23" s="198" t="e">
        <f>E23-#REF!</f>
        <v>#REF!</v>
      </c>
    </row>
    <row r="24" spans="1:11" hidden="1" outlineLevel="1">
      <c r="D24" s="197" t="s">
        <v>174</v>
      </c>
      <c r="E24" s="206">
        <f t="shared" ref="E24" si="15">SUMPRODUCT($C52:$C61,E52:E61)/SUM($C52:$C61)</f>
        <v>40764.867935752525</v>
      </c>
      <c r="F24" s="206"/>
      <c r="G24" s="198" t="e">
        <f>#REF!-#REF!</f>
        <v>#REF!</v>
      </c>
      <c r="H24" s="198"/>
      <c r="I24" s="205" t="e">
        <f>#REF!/#REF!-100%</f>
        <v>#REF!</v>
      </c>
      <c r="J24" s="205"/>
      <c r="K24" s="198" t="e">
        <f>E24-#REF!</f>
        <v>#REF!</v>
      </c>
    </row>
    <row r="25" spans="1:11" hidden="1" outlineLevel="1">
      <c r="D25" s="197" t="s">
        <v>175</v>
      </c>
      <c r="E25" s="206">
        <f t="shared" ref="E25" si="16">SUMPRODUCT($C62:$C71,E62:E71)/SUM($C62:$C71)</f>
        <v>48676.376176717305</v>
      </c>
      <c r="F25" s="206"/>
      <c r="G25" s="198" t="e">
        <f>#REF!-#REF!</f>
        <v>#REF!</v>
      </c>
      <c r="H25" s="198"/>
      <c r="I25" s="205" t="e">
        <f>#REF!/#REF!-100%</f>
        <v>#REF!</v>
      </c>
      <c r="J25" s="205"/>
      <c r="K25" s="198" t="e">
        <f>E25-#REF!</f>
        <v>#REF!</v>
      </c>
    </row>
    <row r="26" spans="1:11" hidden="1" outlineLevel="1">
      <c r="D26" s="197" t="s">
        <v>176</v>
      </c>
      <c r="E26" s="206">
        <f t="shared" ref="E26" si="17">SUMPRODUCT($C72:$C100,E72:E100)/SUM($C72:$C100)</f>
        <v>60064.241578947374</v>
      </c>
      <c r="F26" s="206"/>
      <c r="G26" s="198" t="e">
        <f>#REF!-#REF!</f>
        <v>#REF!</v>
      </c>
      <c r="H26" s="198"/>
      <c r="I26" s="205" t="e">
        <f>#REF!/#REF!-100%</f>
        <v>#REF!</v>
      </c>
      <c r="J26" s="205"/>
      <c r="K26" s="198" t="e">
        <f>E26-#REF!</f>
        <v>#REF!</v>
      </c>
    </row>
    <row r="27" spans="1:11" collapsed="1">
      <c r="I27" s="37"/>
      <c r="J27" s="37"/>
      <c r="K27" s="37"/>
    </row>
    <row r="28" spans="1:11">
      <c r="C28" s="37">
        <f>SUM(C31:C42)</f>
        <v>4365</v>
      </c>
      <c r="I28" s="37"/>
      <c r="J28" s="37"/>
      <c r="K28" s="37"/>
    </row>
    <row r="29" spans="1:11" ht="40.5" customHeight="1">
      <c r="A29" s="26"/>
      <c r="B29" s="48"/>
      <c r="C29" s="636" t="s">
        <v>26</v>
      </c>
      <c r="D29" s="637"/>
      <c r="E29" s="354" t="s">
        <v>217</v>
      </c>
      <c r="F29" s="354" t="s">
        <v>218</v>
      </c>
      <c r="G29" s="354" t="s">
        <v>219</v>
      </c>
      <c r="H29" s="354" t="s">
        <v>220</v>
      </c>
      <c r="I29" s="354" t="s">
        <v>221</v>
      </c>
      <c r="J29" s="354" t="s">
        <v>222</v>
      </c>
      <c r="K29" s="223">
        <v>2026</v>
      </c>
    </row>
    <row r="30" spans="1:11" s="28" customFormat="1" ht="51.75" customHeight="1">
      <c r="A30" s="49" t="s">
        <v>0</v>
      </c>
      <c r="B30" s="50" t="s">
        <v>30</v>
      </c>
      <c r="C30" s="49" t="s">
        <v>1</v>
      </c>
      <c r="D30" s="49" t="s">
        <v>7</v>
      </c>
      <c r="E30" s="27" t="s">
        <v>31</v>
      </c>
      <c r="F30" s="27" t="s">
        <v>31</v>
      </c>
      <c r="G30" s="27" t="s">
        <v>31</v>
      </c>
      <c r="H30" s="27" t="s">
        <v>31</v>
      </c>
      <c r="I30" s="27" t="s">
        <v>31</v>
      </c>
      <c r="J30" s="27" t="s">
        <v>31</v>
      </c>
      <c r="K30" s="27" t="s">
        <v>31</v>
      </c>
    </row>
    <row r="31" spans="1:11" s="28" customFormat="1">
      <c r="A31" s="34">
        <v>0</v>
      </c>
      <c r="B31" s="33">
        <f>+A31*0.1</f>
        <v>0</v>
      </c>
      <c r="C31" s="34">
        <v>14</v>
      </c>
      <c r="D31" s="34">
        <v>31600</v>
      </c>
      <c r="E31" s="34">
        <f t="shared" ref="E31:K41" si="18">+IF(E$3+$A31*E$5*$B31&lt;E$4,E$4+E$7,E$3+$A31*E$5*$B31+E$7)</f>
        <v>31600</v>
      </c>
      <c r="F31" s="34">
        <f t="shared" si="18"/>
        <v>36000</v>
      </c>
      <c r="G31" s="34">
        <f t="shared" si="18"/>
        <v>36000</v>
      </c>
      <c r="H31" s="34">
        <f t="shared" si="18"/>
        <v>37000</v>
      </c>
      <c r="I31" s="34">
        <f t="shared" si="18"/>
        <v>37000</v>
      </c>
      <c r="J31" s="34">
        <f t="shared" si="18"/>
        <v>38000</v>
      </c>
      <c r="K31" s="34">
        <f t="shared" si="18"/>
        <v>39500</v>
      </c>
    </row>
    <row r="32" spans="1:11" s="28" customFormat="1">
      <c r="A32" s="34">
        <v>1</v>
      </c>
      <c r="B32" s="33">
        <v>0.1</v>
      </c>
      <c r="C32" s="34">
        <v>2</v>
      </c>
      <c r="D32" s="34">
        <v>31600</v>
      </c>
      <c r="E32" s="34">
        <f t="shared" si="18"/>
        <v>31600</v>
      </c>
      <c r="F32" s="34">
        <f t="shared" si="18"/>
        <v>36000</v>
      </c>
      <c r="G32" s="34">
        <f t="shared" si="18"/>
        <v>36000</v>
      </c>
      <c r="H32" s="34">
        <f t="shared" si="18"/>
        <v>37000</v>
      </c>
      <c r="I32" s="34">
        <f t="shared" si="18"/>
        <v>37000</v>
      </c>
      <c r="J32" s="34">
        <f t="shared" si="18"/>
        <v>38000</v>
      </c>
      <c r="K32" s="34">
        <f t="shared" si="18"/>
        <v>39500</v>
      </c>
    </row>
    <row r="33" spans="1:11" s="28" customFormat="1">
      <c r="A33" s="34">
        <v>2</v>
      </c>
      <c r="B33" s="33">
        <f t="shared" ref="B33:B41" si="19">+A33*0.1</f>
        <v>0.2</v>
      </c>
      <c r="C33" s="34">
        <v>11</v>
      </c>
      <c r="D33" s="34">
        <v>31600</v>
      </c>
      <c r="E33" s="34">
        <f t="shared" si="18"/>
        <v>31600</v>
      </c>
      <c r="F33" s="34">
        <f t="shared" si="18"/>
        <v>36000</v>
      </c>
      <c r="G33" s="34">
        <f t="shared" si="18"/>
        <v>36000</v>
      </c>
      <c r="H33" s="34">
        <f t="shared" si="18"/>
        <v>37000</v>
      </c>
      <c r="I33" s="34">
        <f t="shared" si="18"/>
        <v>37000</v>
      </c>
      <c r="J33" s="34">
        <f t="shared" si="18"/>
        <v>38000</v>
      </c>
      <c r="K33" s="34">
        <f t="shared" si="18"/>
        <v>39500</v>
      </c>
    </row>
    <row r="34" spans="1:11" s="28" customFormat="1">
      <c r="A34" s="34">
        <v>3</v>
      </c>
      <c r="B34" s="33">
        <f t="shared" si="19"/>
        <v>0.30000000000000004</v>
      </c>
      <c r="C34" s="34">
        <v>14</v>
      </c>
      <c r="D34" s="34">
        <v>31600</v>
      </c>
      <c r="E34" s="34">
        <f t="shared" si="18"/>
        <v>31600</v>
      </c>
      <c r="F34" s="34">
        <f t="shared" si="18"/>
        <v>36000</v>
      </c>
      <c r="G34" s="34">
        <f t="shared" si="18"/>
        <v>36000</v>
      </c>
      <c r="H34" s="34">
        <f t="shared" si="18"/>
        <v>37000</v>
      </c>
      <c r="I34" s="34">
        <f t="shared" si="18"/>
        <v>37000</v>
      </c>
      <c r="J34" s="34">
        <f t="shared" si="18"/>
        <v>38000</v>
      </c>
      <c r="K34" s="34">
        <f t="shared" si="18"/>
        <v>39500</v>
      </c>
    </row>
    <row r="35" spans="1:11" s="28" customFormat="1">
      <c r="A35" s="34">
        <v>4</v>
      </c>
      <c r="B35" s="33">
        <f t="shared" si="19"/>
        <v>0.4</v>
      </c>
      <c r="C35" s="34">
        <v>33</v>
      </c>
      <c r="D35" s="34">
        <v>31600</v>
      </c>
      <c r="E35" s="34">
        <f t="shared" si="18"/>
        <v>31600</v>
      </c>
      <c r="F35" s="34">
        <f t="shared" si="18"/>
        <v>36000</v>
      </c>
      <c r="G35" s="34">
        <f t="shared" si="18"/>
        <v>36000</v>
      </c>
      <c r="H35" s="34">
        <f t="shared" si="18"/>
        <v>37000</v>
      </c>
      <c r="I35" s="34">
        <f t="shared" si="18"/>
        <v>37000</v>
      </c>
      <c r="J35" s="34">
        <f t="shared" si="18"/>
        <v>38000</v>
      </c>
      <c r="K35" s="34">
        <f t="shared" si="18"/>
        <v>39500</v>
      </c>
    </row>
    <row r="36" spans="1:11">
      <c r="A36" s="34">
        <v>5</v>
      </c>
      <c r="B36" s="33">
        <f t="shared" si="19"/>
        <v>0.5</v>
      </c>
      <c r="C36" s="34">
        <v>164</v>
      </c>
      <c r="D36" s="34">
        <v>31600</v>
      </c>
      <c r="E36" s="34">
        <f t="shared" si="18"/>
        <v>31600</v>
      </c>
      <c r="F36" s="34">
        <f t="shared" si="18"/>
        <v>36000</v>
      </c>
      <c r="G36" s="34">
        <f t="shared" si="18"/>
        <v>36000</v>
      </c>
      <c r="H36" s="34">
        <f t="shared" si="18"/>
        <v>37000</v>
      </c>
      <c r="I36" s="34">
        <f t="shared" si="18"/>
        <v>37000</v>
      </c>
      <c r="J36" s="34">
        <f t="shared" si="18"/>
        <v>38000</v>
      </c>
      <c r="K36" s="34">
        <f t="shared" si="18"/>
        <v>39500</v>
      </c>
    </row>
    <row r="37" spans="1:11">
      <c r="A37" s="34">
        <v>6</v>
      </c>
      <c r="B37" s="33">
        <f t="shared" si="19"/>
        <v>0.60000000000000009</v>
      </c>
      <c r="C37" s="34">
        <v>255</v>
      </c>
      <c r="D37" s="34">
        <v>31600</v>
      </c>
      <c r="E37" s="34">
        <f t="shared" si="18"/>
        <v>31600</v>
      </c>
      <c r="F37" s="34">
        <f t="shared" si="18"/>
        <v>36000</v>
      </c>
      <c r="G37" s="34">
        <f t="shared" si="18"/>
        <v>36000</v>
      </c>
      <c r="H37" s="34">
        <f t="shared" si="18"/>
        <v>37000</v>
      </c>
      <c r="I37" s="34">
        <f t="shared" si="18"/>
        <v>37000</v>
      </c>
      <c r="J37" s="34">
        <f t="shared" si="18"/>
        <v>38000</v>
      </c>
      <c r="K37" s="34">
        <f t="shared" si="18"/>
        <v>39500</v>
      </c>
    </row>
    <row r="38" spans="1:11">
      <c r="A38" s="34">
        <v>7</v>
      </c>
      <c r="B38" s="33">
        <f t="shared" si="19"/>
        <v>0.70000000000000007</v>
      </c>
      <c r="C38" s="34">
        <v>343</v>
      </c>
      <c r="D38" s="34">
        <v>31600</v>
      </c>
      <c r="E38" s="34">
        <f t="shared" si="18"/>
        <v>31600</v>
      </c>
      <c r="F38" s="34">
        <f t="shared" si="18"/>
        <v>36000</v>
      </c>
      <c r="G38" s="34">
        <f t="shared" si="18"/>
        <v>36000</v>
      </c>
      <c r="H38" s="34">
        <f t="shared" si="18"/>
        <v>37000</v>
      </c>
      <c r="I38" s="34">
        <f t="shared" si="18"/>
        <v>37000</v>
      </c>
      <c r="J38" s="34">
        <f t="shared" si="18"/>
        <v>38000</v>
      </c>
      <c r="K38" s="34">
        <f t="shared" si="18"/>
        <v>39500</v>
      </c>
    </row>
    <row r="39" spans="1:11">
      <c r="A39" s="34">
        <v>8</v>
      </c>
      <c r="B39" s="33">
        <f t="shared" si="19"/>
        <v>0.8</v>
      </c>
      <c r="C39" s="34">
        <v>511</v>
      </c>
      <c r="D39" s="34">
        <v>31600</v>
      </c>
      <c r="E39" s="34">
        <f t="shared" si="18"/>
        <v>31600</v>
      </c>
      <c r="F39" s="34">
        <f t="shared" si="18"/>
        <v>36000</v>
      </c>
      <c r="G39" s="34">
        <f t="shared" si="18"/>
        <v>36000</v>
      </c>
      <c r="H39" s="34">
        <f t="shared" si="18"/>
        <v>37000</v>
      </c>
      <c r="I39" s="34">
        <f t="shared" si="18"/>
        <v>37000</v>
      </c>
      <c r="J39" s="34">
        <f t="shared" si="18"/>
        <v>38000</v>
      </c>
      <c r="K39" s="34">
        <f t="shared" si="18"/>
        <v>39500</v>
      </c>
    </row>
    <row r="40" spans="1:11">
      <c r="A40" s="34">
        <v>9</v>
      </c>
      <c r="B40" s="33">
        <f t="shared" si="19"/>
        <v>0.9</v>
      </c>
      <c r="C40" s="34">
        <v>589</v>
      </c>
      <c r="D40" s="34">
        <v>31600</v>
      </c>
      <c r="E40" s="34">
        <f t="shared" si="18"/>
        <v>31600</v>
      </c>
      <c r="F40" s="34">
        <f t="shared" si="18"/>
        <v>36000</v>
      </c>
      <c r="G40" s="34">
        <f t="shared" si="18"/>
        <v>36000</v>
      </c>
      <c r="H40" s="34">
        <f t="shared" si="18"/>
        <v>37000</v>
      </c>
      <c r="I40" s="34">
        <f t="shared" si="18"/>
        <v>37000</v>
      </c>
      <c r="J40" s="34">
        <f t="shared" si="18"/>
        <v>38000</v>
      </c>
      <c r="K40" s="34">
        <f t="shared" si="18"/>
        <v>39500</v>
      </c>
    </row>
    <row r="41" spans="1:11">
      <c r="A41" s="34">
        <v>10</v>
      </c>
      <c r="B41" s="46">
        <f t="shared" si="19"/>
        <v>1</v>
      </c>
      <c r="C41" s="34">
        <v>1032</v>
      </c>
      <c r="D41" s="34">
        <v>31600</v>
      </c>
      <c r="E41" s="34">
        <f t="shared" si="18"/>
        <v>31600</v>
      </c>
      <c r="F41" s="34">
        <f t="shared" si="18"/>
        <v>36000</v>
      </c>
      <c r="G41" s="34">
        <f t="shared" si="18"/>
        <v>36000</v>
      </c>
      <c r="H41" s="34">
        <f t="shared" si="18"/>
        <v>37000</v>
      </c>
      <c r="I41" s="34">
        <f t="shared" si="18"/>
        <v>37000</v>
      </c>
      <c r="J41" s="34">
        <f t="shared" si="18"/>
        <v>38000</v>
      </c>
      <c r="K41" s="34">
        <f t="shared" si="18"/>
        <v>39500</v>
      </c>
    </row>
    <row r="42" spans="1:11">
      <c r="A42" s="34">
        <v>11</v>
      </c>
      <c r="B42" s="46">
        <f>+B41+0.01</f>
        <v>1.01</v>
      </c>
      <c r="C42" s="34">
        <v>1397</v>
      </c>
      <c r="D42" s="34">
        <v>31600</v>
      </c>
      <c r="E42" s="34">
        <f t="shared" ref="E42:K51" si="20">IF(E$3+(E$5*10+($A42-10)*E$6)*$B42&lt;E$4,E$4,E$3+(E$5*10+($A42-10)*E$6)*$B42+E$7)</f>
        <v>31600</v>
      </c>
      <c r="F42" s="34">
        <f t="shared" si="20"/>
        <v>36530.25</v>
      </c>
      <c r="G42" s="34">
        <f t="shared" si="20"/>
        <v>36505</v>
      </c>
      <c r="H42" s="34">
        <f t="shared" si="20"/>
        <v>37555.5</v>
      </c>
      <c r="I42" s="34">
        <f t="shared" si="20"/>
        <v>37631.25</v>
      </c>
      <c r="J42" s="34">
        <f t="shared" si="20"/>
        <v>38808</v>
      </c>
      <c r="K42" s="34">
        <f t="shared" si="20"/>
        <v>41419</v>
      </c>
    </row>
    <row r="43" spans="1:11">
      <c r="A43" s="34">
        <v>12</v>
      </c>
      <c r="B43" s="46">
        <f t="shared" ref="B43:B71" si="21">+B42+0.01</f>
        <v>1.02</v>
      </c>
      <c r="C43" s="34">
        <v>1613</v>
      </c>
      <c r="D43" s="34">
        <v>31698.95</v>
      </c>
      <c r="E43" s="34">
        <f t="shared" si="20"/>
        <v>31710</v>
      </c>
      <c r="F43" s="34">
        <f t="shared" si="20"/>
        <v>37071</v>
      </c>
      <c r="G43" s="34">
        <f t="shared" si="20"/>
        <v>37020</v>
      </c>
      <c r="H43" s="34">
        <f t="shared" si="20"/>
        <v>38122</v>
      </c>
      <c r="I43" s="34">
        <f t="shared" si="20"/>
        <v>38275</v>
      </c>
      <c r="J43" s="34">
        <f t="shared" si="20"/>
        <v>39632</v>
      </c>
      <c r="K43" s="34">
        <f t="shared" si="20"/>
        <v>43376</v>
      </c>
    </row>
    <row r="44" spans="1:11">
      <c r="A44" s="34">
        <v>13</v>
      </c>
      <c r="B44" s="46">
        <f t="shared" si="21"/>
        <v>1.03</v>
      </c>
      <c r="C44" s="34">
        <v>1909</v>
      </c>
      <c r="D44" s="34">
        <v>32263.51</v>
      </c>
      <c r="E44" s="34">
        <f t="shared" si="20"/>
        <v>32330</v>
      </c>
      <c r="F44" s="34">
        <f t="shared" si="20"/>
        <v>37622.25</v>
      </c>
      <c r="G44" s="34">
        <f t="shared" si="20"/>
        <v>37545</v>
      </c>
      <c r="H44" s="34">
        <f t="shared" si="20"/>
        <v>38699.5</v>
      </c>
      <c r="I44" s="34">
        <f t="shared" si="20"/>
        <v>38931.25</v>
      </c>
      <c r="J44" s="34">
        <f t="shared" si="20"/>
        <v>40472</v>
      </c>
      <c r="K44" s="34">
        <f t="shared" si="20"/>
        <v>45371</v>
      </c>
    </row>
    <row r="45" spans="1:11">
      <c r="A45" s="34">
        <v>14</v>
      </c>
      <c r="B45" s="46">
        <f t="shared" si="21"/>
        <v>1.04</v>
      </c>
      <c r="C45" s="34">
        <v>1938</v>
      </c>
      <c r="D45" s="34">
        <v>32855.620000000003</v>
      </c>
      <c r="E45" s="34">
        <f t="shared" si="20"/>
        <v>32960</v>
      </c>
      <c r="F45" s="34">
        <f t="shared" si="20"/>
        <v>38184</v>
      </c>
      <c r="G45" s="34">
        <f t="shared" si="20"/>
        <v>38080</v>
      </c>
      <c r="H45" s="34">
        <f t="shared" si="20"/>
        <v>39288</v>
      </c>
      <c r="I45" s="34">
        <f t="shared" si="20"/>
        <v>39600</v>
      </c>
      <c r="J45" s="34">
        <f t="shared" si="20"/>
        <v>41328</v>
      </c>
      <c r="K45" s="34">
        <f t="shared" si="20"/>
        <v>47404</v>
      </c>
    </row>
    <row r="46" spans="1:11">
      <c r="A46" s="34">
        <v>15</v>
      </c>
      <c r="B46" s="46">
        <f t="shared" si="21"/>
        <v>1.05</v>
      </c>
      <c r="C46" s="34">
        <v>2133</v>
      </c>
      <c r="D46" s="34">
        <v>33462.6</v>
      </c>
      <c r="E46" s="34">
        <f t="shared" si="20"/>
        <v>33600</v>
      </c>
      <c r="F46" s="34">
        <f t="shared" si="20"/>
        <v>38756.25</v>
      </c>
      <c r="G46" s="34">
        <f t="shared" si="20"/>
        <v>38625</v>
      </c>
      <c r="H46" s="34">
        <f t="shared" si="20"/>
        <v>39887.5</v>
      </c>
      <c r="I46" s="34">
        <f t="shared" si="20"/>
        <v>40281.25</v>
      </c>
      <c r="J46" s="34">
        <f t="shared" si="20"/>
        <v>42200</v>
      </c>
      <c r="K46" s="34">
        <f t="shared" si="20"/>
        <v>49475</v>
      </c>
    </row>
    <row r="47" spans="1:11">
      <c r="A47" s="34">
        <v>16</v>
      </c>
      <c r="B47" s="46">
        <f t="shared" si="21"/>
        <v>1.06</v>
      </c>
      <c r="C47" s="34">
        <v>2023</v>
      </c>
      <c r="D47" s="34">
        <v>34081.019999999997</v>
      </c>
      <c r="E47" s="34">
        <f t="shared" si="20"/>
        <v>34250</v>
      </c>
      <c r="F47" s="34">
        <f t="shared" si="20"/>
        <v>39339</v>
      </c>
      <c r="G47" s="34">
        <f t="shared" si="20"/>
        <v>39180</v>
      </c>
      <c r="H47" s="34">
        <f t="shared" si="20"/>
        <v>40498</v>
      </c>
      <c r="I47" s="34">
        <f t="shared" si="20"/>
        <v>40975</v>
      </c>
      <c r="J47" s="34">
        <f t="shared" si="20"/>
        <v>43088</v>
      </c>
      <c r="K47" s="34">
        <f t="shared" si="20"/>
        <v>51584</v>
      </c>
    </row>
    <row r="48" spans="1:11">
      <c r="A48" s="34">
        <v>17</v>
      </c>
      <c r="B48" s="46">
        <f t="shared" si="21"/>
        <v>1.07</v>
      </c>
      <c r="C48" s="34">
        <v>2051</v>
      </c>
      <c r="D48" s="34">
        <v>34710.36</v>
      </c>
      <c r="E48" s="34">
        <f t="shared" si="20"/>
        <v>34910</v>
      </c>
      <c r="F48" s="34">
        <f t="shared" si="20"/>
        <v>39932.25</v>
      </c>
      <c r="G48" s="34">
        <f t="shared" si="20"/>
        <v>39745</v>
      </c>
      <c r="H48" s="34">
        <f t="shared" si="20"/>
        <v>41119.5</v>
      </c>
      <c r="I48" s="34">
        <f t="shared" si="20"/>
        <v>41681.25</v>
      </c>
      <c r="J48" s="34">
        <f t="shared" si="20"/>
        <v>43992</v>
      </c>
      <c r="K48" s="34">
        <f t="shared" si="20"/>
        <v>53731</v>
      </c>
    </row>
    <row r="49" spans="1:11">
      <c r="A49" s="34">
        <v>18</v>
      </c>
      <c r="B49" s="46">
        <f t="shared" si="21"/>
        <v>1.08</v>
      </c>
      <c r="C49" s="34">
        <v>2040</v>
      </c>
      <c r="D49" s="34">
        <v>35406.33</v>
      </c>
      <c r="E49" s="34">
        <f t="shared" si="20"/>
        <v>35580</v>
      </c>
      <c r="F49" s="34">
        <f t="shared" si="20"/>
        <v>40536</v>
      </c>
      <c r="G49" s="34">
        <f t="shared" si="20"/>
        <v>40320</v>
      </c>
      <c r="H49" s="34">
        <f t="shared" si="20"/>
        <v>41752</v>
      </c>
      <c r="I49" s="34">
        <f t="shared" si="20"/>
        <v>42400</v>
      </c>
      <c r="J49" s="34">
        <f t="shared" si="20"/>
        <v>44912</v>
      </c>
      <c r="K49" s="34">
        <f t="shared" si="20"/>
        <v>55916</v>
      </c>
    </row>
    <row r="50" spans="1:11">
      <c r="A50" s="34">
        <v>19</v>
      </c>
      <c r="B50" s="46">
        <f t="shared" si="21"/>
        <v>1.0900000000000001</v>
      </c>
      <c r="C50" s="34">
        <v>1994</v>
      </c>
      <c r="D50" s="34">
        <v>36078.17</v>
      </c>
      <c r="E50" s="34">
        <f t="shared" si="20"/>
        <v>36260</v>
      </c>
      <c r="F50" s="34">
        <f t="shared" si="20"/>
        <v>41150.25</v>
      </c>
      <c r="G50" s="34">
        <f t="shared" si="20"/>
        <v>40905</v>
      </c>
      <c r="H50" s="34">
        <f t="shared" si="20"/>
        <v>42395.5</v>
      </c>
      <c r="I50" s="34">
        <f t="shared" si="20"/>
        <v>43131.25</v>
      </c>
      <c r="J50" s="34">
        <f t="shared" si="20"/>
        <v>45848</v>
      </c>
      <c r="K50" s="34">
        <f t="shared" si="20"/>
        <v>58139</v>
      </c>
    </row>
    <row r="51" spans="1:11">
      <c r="A51" s="34">
        <v>20</v>
      </c>
      <c r="B51" s="46">
        <f t="shared" si="21"/>
        <v>1.1000000000000001</v>
      </c>
      <c r="C51" s="34">
        <v>2083</v>
      </c>
      <c r="D51" s="34">
        <v>36806.629999999997</v>
      </c>
      <c r="E51" s="34">
        <f t="shared" si="20"/>
        <v>36950</v>
      </c>
      <c r="F51" s="34">
        <f t="shared" si="20"/>
        <v>41775</v>
      </c>
      <c r="G51" s="34">
        <f t="shared" si="20"/>
        <v>41500</v>
      </c>
      <c r="H51" s="34">
        <f t="shared" si="20"/>
        <v>43050</v>
      </c>
      <c r="I51" s="34">
        <f t="shared" si="20"/>
        <v>43875</v>
      </c>
      <c r="J51" s="34">
        <f t="shared" si="20"/>
        <v>46800</v>
      </c>
      <c r="K51" s="34">
        <f t="shared" si="20"/>
        <v>60400</v>
      </c>
    </row>
    <row r="52" spans="1:11">
      <c r="A52" s="34">
        <v>21</v>
      </c>
      <c r="B52" s="46">
        <f t="shared" si="21"/>
        <v>1.1100000000000001</v>
      </c>
      <c r="C52" s="34">
        <v>1895</v>
      </c>
      <c r="D52" s="34">
        <v>37460.51</v>
      </c>
      <c r="E52" s="34">
        <f t="shared" ref="E52:K61" si="22">IF(E$3+(E$5*10+($A52-10)*E$6)*$B52&lt;E$4,E$4,E$3+(E$5*10+($A52-10)*E$6)*$B52+E$7)</f>
        <v>37650</v>
      </c>
      <c r="F52" s="34">
        <f t="shared" si="22"/>
        <v>42410.25</v>
      </c>
      <c r="G52" s="34">
        <f t="shared" si="22"/>
        <v>42105</v>
      </c>
      <c r="H52" s="34">
        <f t="shared" si="22"/>
        <v>43715.5</v>
      </c>
      <c r="I52" s="34">
        <f t="shared" si="22"/>
        <v>44631.25</v>
      </c>
      <c r="J52" s="34">
        <f t="shared" si="22"/>
        <v>47768</v>
      </c>
      <c r="K52" s="34">
        <f t="shared" si="22"/>
        <v>62699</v>
      </c>
    </row>
    <row r="53" spans="1:11">
      <c r="A53" s="34">
        <v>22</v>
      </c>
      <c r="B53" s="46">
        <f t="shared" si="21"/>
        <v>1.1200000000000001</v>
      </c>
      <c r="C53" s="34">
        <v>1784</v>
      </c>
      <c r="D53" s="34">
        <v>38225.019999999997</v>
      </c>
      <c r="E53" s="34">
        <f t="shared" si="22"/>
        <v>38360</v>
      </c>
      <c r="F53" s="34">
        <f t="shared" si="22"/>
        <v>43056</v>
      </c>
      <c r="G53" s="34">
        <f t="shared" si="22"/>
        <v>42720</v>
      </c>
      <c r="H53" s="34">
        <f t="shared" si="22"/>
        <v>44392</v>
      </c>
      <c r="I53" s="34">
        <f t="shared" si="22"/>
        <v>45400</v>
      </c>
      <c r="J53" s="34">
        <f t="shared" si="22"/>
        <v>48752</v>
      </c>
      <c r="K53" s="34">
        <f t="shared" si="22"/>
        <v>65036</v>
      </c>
    </row>
    <row r="54" spans="1:11">
      <c r="A54" s="34">
        <v>23</v>
      </c>
      <c r="B54" s="46">
        <f t="shared" si="21"/>
        <v>1.1300000000000001</v>
      </c>
      <c r="C54" s="34">
        <v>1843</v>
      </c>
      <c r="D54" s="34">
        <v>38934.379999999997</v>
      </c>
      <c r="E54" s="34">
        <f t="shared" si="22"/>
        <v>39080</v>
      </c>
      <c r="F54" s="34">
        <f t="shared" si="22"/>
        <v>43712.25</v>
      </c>
      <c r="G54" s="34">
        <f t="shared" si="22"/>
        <v>43345</v>
      </c>
      <c r="H54" s="34">
        <f t="shared" si="22"/>
        <v>45079.5</v>
      </c>
      <c r="I54" s="34">
        <f t="shared" si="22"/>
        <v>46181.25</v>
      </c>
      <c r="J54" s="34">
        <f t="shared" si="22"/>
        <v>49752</v>
      </c>
      <c r="K54" s="34">
        <f t="shared" si="22"/>
        <v>67411</v>
      </c>
    </row>
    <row r="55" spans="1:11">
      <c r="A55" s="34">
        <v>24</v>
      </c>
      <c r="B55" s="46">
        <f t="shared" si="21"/>
        <v>1.1400000000000001</v>
      </c>
      <c r="C55" s="34">
        <v>1816</v>
      </c>
      <c r="D55" s="34">
        <v>39660.589999999997</v>
      </c>
      <c r="E55" s="34">
        <f t="shared" si="22"/>
        <v>39810</v>
      </c>
      <c r="F55" s="34">
        <f t="shared" si="22"/>
        <v>44379</v>
      </c>
      <c r="G55" s="34">
        <f t="shared" si="22"/>
        <v>43980</v>
      </c>
      <c r="H55" s="34">
        <f t="shared" si="22"/>
        <v>45778</v>
      </c>
      <c r="I55" s="34">
        <f t="shared" si="22"/>
        <v>46975</v>
      </c>
      <c r="J55" s="34">
        <f t="shared" si="22"/>
        <v>50768</v>
      </c>
      <c r="K55" s="34">
        <f t="shared" si="22"/>
        <v>69824</v>
      </c>
    </row>
    <row r="56" spans="1:11">
      <c r="A56" s="34">
        <v>25</v>
      </c>
      <c r="B56" s="46">
        <f t="shared" si="21"/>
        <v>1.1500000000000001</v>
      </c>
      <c r="C56" s="34">
        <v>1781</v>
      </c>
      <c r="D56" s="34">
        <v>40372.75</v>
      </c>
      <c r="E56" s="34">
        <f t="shared" si="22"/>
        <v>40550</v>
      </c>
      <c r="F56" s="34">
        <f t="shared" si="22"/>
        <v>45056.25</v>
      </c>
      <c r="G56" s="34">
        <f t="shared" si="22"/>
        <v>44625</v>
      </c>
      <c r="H56" s="34">
        <f t="shared" si="22"/>
        <v>46487.5</v>
      </c>
      <c r="I56" s="34">
        <f t="shared" si="22"/>
        <v>47781.25</v>
      </c>
      <c r="J56" s="34">
        <f t="shared" si="22"/>
        <v>51800</v>
      </c>
      <c r="K56" s="34">
        <f t="shared" si="22"/>
        <v>72275</v>
      </c>
    </row>
    <row r="57" spans="1:11">
      <c r="A57" s="34">
        <v>26</v>
      </c>
      <c r="B57" s="46">
        <f t="shared" si="21"/>
        <v>1.1600000000000001</v>
      </c>
      <c r="C57" s="34">
        <v>1637</v>
      </c>
      <c r="D57" s="34">
        <v>41170.49</v>
      </c>
      <c r="E57" s="34">
        <f t="shared" si="22"/>
        <v>41300</v>
      </c>
      <c r="F57" s="34">
        <f t="shared" si="22"/>
        <v>45744</v>
      </c>
      <c r="G57" s="34">
        <f t="shared" si="22"/>
        <v>45280</v>
      </c>
      <c r="H57" s="34">
        <f t="shared" si="22"/>
        <v>47208</v>
      </c>
      <c r="I57" s="34">
        <f t="shared" si="22"/>
        <v>48600</v>
      </c>
      <c r="J57" s="34">
        <f t="shared" si="22"/>
        <v>52848</v>
      </c>
      <c r="K57" s="34">
        <f t="shared" si="22"/>
        <v>74764</v>
      </c>
    </row>
    <row r="58" spans="1:11">
      <c r="A58" s="34">
        <v>27</v>
      </c>
      <c r="B58" s="46">
        <f t="shared" si="21"/>
        <v>1.1700000000000002</v>
      </c>
      <c r="C58" s="34">
        <v>1613</v>
      </c>
      <c r="D58" s="34">
        <v>41945.760000000002</v>
      </c>
      <c r="E58" s="34">
        <f t="shared" si="22"/>
        <v>42060</v>
      </c>
      <c r="F58" s="34">
        <f t="shared" si="22"/>
        <v>46442.25</v>
      </c>
      <c r="G58" s="34">
        <f t="shared" si="22"/>
        <v>45945</v>
      </c>
      <c r="H58" s="34">
        <f t="shared" si="22"/>
        <v>47939.5</v>
      </c>
      <c r="I58" s="34">
        <f t="shared" si="22"/>
        <v>49431.25</v>
      </c>
      <c r="J58" s="34">
        <f t="shared" si="22"/>
        <v>53912</v>
      </c>
      <c r="K58" s="34">
        <f t="shared" si="22"/>
        <v>77291</v>
      </c>
    </row>
    <row r="59" spans="1:11">
      <c r="A59" s="34">
        <v>28</v>
      </c>
      <c r="B59" s="46">
        <f t="shared" si="21"/>
        <v>1.1800000000000002</v>
      </c>
      <c r="C59" s="34">
        <v>1605</v>
      </c>
      <c r="D59" s="34">
        <v>42698.03</v>
      </c>
      <c r="E59" s="34">
        <f t="shared" si="22"/>
        <v>42830</v>
      </c>
      <c r="F59" s="34">
        <f t="shared" si="22"/>
        <v>47151</v>
      </c>
      <c r="G59" s="34">
        <f t="shared" si="22"/>
        <v>46620</v>
      </c>
      <c r="H59" s="34">
        <f t="shared" si="22"/>
        <v>48682</v>
      </c>
      <c r="I59" s="34">
        <f t="shared" si="22"/>
        <v>50275</v>
      </c>
      <c r="J59" s="34">
        <f t="shared" si="22"/>
        <v>54992</v>
      </c>
      <c r="K59" s="34">
        <f t="shared" si="22"/>
        <v>79856</v>
      </c>
    </row>
    <row r="60" spans="1:11">
      <c r="A60" s="34">
        <v>29</v>
      </c>
      <c r="B60" s="46">
        <f t="shared" si="21"/>
        <v>1.1900000000000002</v>
      </c>
      <c r="C60" s="34">
        <v>1486</v>
      </c>
      <c r="D60" s="34">
        <v>43513.5</v>
      </c>
      <c r="E60" s="34">
        <f t="shared" si="22"/>
        <v>43610</v>
      </c>
      <c r="F60" s="34">
        <f t="shared" si="22"/>
        <v>47870.25</v>
      </c>
      <c r="G60" s="34">
        <f t="shared" si="22"/>
        <v>47305</v>
      </c>
      <c r="H60" s="34">
        <f t="shared" si="22"/>
        <v>49435.5</v>
      </c>
      <c r="I60" s="34">
        <f t="shared" si="22"/>
        <v>51131.25</v>
      </c>
      <c r="J60" s="34">
        <f t="shared" si="22"/>
        <v>56088</v>
      </c>
      <c r="K60" s="34">
        <f t="shared" si="22"/>
        <v>82459</v>
      </c>
    </row>
    <row r="61" spans="1:11">
      <c r="A61" s="34">
        <v>30</v>
      </c>
      <c r="B61" s="46">
        <f t="shared" si="21"/>
        <v>1.2000000000000002</v>
      </c>
      <c r="C61" s="34">
        <v>1350</v>
      </c>
      <c r="D61" s="34">
        <v>44292</v>
      </c>
      <c r="E61" s="34">
        <f t="shared" si="22"/>
        <v>44400</v>
      </c>
      <c r="F61" s="34">
        <f t="shared" si="22"/>
        <v>48600</v>
      </c>
      <c r="G61" s="34">
        <f t="shared" si="22"/>
        <v>48000</v>
      </c>
      <c r="H61" s="34">
        <f t="shared" si="22"/>
        <v>50200</v>
      </c>
      <c r="I61" s="34">
        <f t="shared" si="22"/>
        <v>52000</v>
      </c>
      <c r="J61" s="34">
        <f t="shared" si="22"/>
        <v>57200</v>
      </c>
      <c r="K61" s="34">
        <f t="shared" si="22"/>
        <v>85100</v>
      </c>
    </row>
    <row r="62" spans="1:11">
      <c r="A62" s="34">
        <v>31</v>
      </c>
      <c r="B62" s="46">
        <f t="shared" si="21"/>
        <v>1.2100000000000002</v>
      </c>
      <c r="C62" s="34">
        <v>1313</v>
      </c>
      <c r="D62" s="34">
        <v>45171.43</v>
      </c>
      <c r="E62" s="34">
        <f t="shared" ref="E62:K71" si="23">IF(E$3+(E$5*10+($A62-10)*E$6)*$B62&lt;E$4,E$4,E$3+(E$5*10+($A62-10)*E$6)*$B62+E$7)</f>
        <v>45200</v>
      </c>
      <c r="F62" s="34">
        <f t="shared" si="23"/>
        <v>49340.25</v>
      </c>
      <c r="G62" s="34">
        <f t="shared" si="23"/>
        <v>48705</v>
      </c>
      <c r="H62" s="34">
        <f t="shared" si="23"/>
        <v>50975.5</v>
      </c>
      <c r="I62" s="34">
        <f t="shared" si="23"/>
        <v>52881.25</v>
      </c>
      <c r="J62" s="34">
        <f t="shared" si="23"/>
        <v>58328</v>
      </c>
      <c r="K62" s="34">
        <f t="shared" si="23"/>
        <v>87779</v>
      </c>
    </row>
    <row r="63" spans="1:11">
      <c r="A63" s="34">
        <v>32</v>
      </c>
      <c r="B63" s="46">
        <f t="shared" si="21"/>
        <v>1.2200000000000002</v>
      </c>
      <c r="C63" s="34">
        <v>1220</v>
      </c>
      <c r="D63" s="34">
        <v>46006</v>
      </c>
      <c r="E63" s="34">
        <f t="shared" si="23"/>
        <v>46010</v>
      </c>
      <c r="F63" s="34">
        <f t="shared" si="23"/>
        <v>50091</v>
      </c>
      <c r="G63" s="34">
        <f t="shared" si="23"/>
        <v>49420</v>
      </c>
      <c r="H63" s="34">
        <f t="shared" si="23"/>
        <v>51762</v>
      </c>
      <c r="I63" s="34">
        <f t="shared" si="23"/>
        <v>53775</v>
      </c>
      <c r="J63" s="34">
        <f t="shared" si="23"/>
        <v>59472</v>
      </c>
      <c r="K63" s="34">
        <f t="shared" si="23"/>
        <v>90496</v>
      </c>
    </row>
    <row r="64" spans="1:11">
      <c r="A64" s="34">
        <v>33</v>
      </c>
      <c r="B64" s="46">
        <f t="shared" si="21"/>
        <v>1.2300000000000002</v>
      </c>
      <c r="C64" s="34">
        <v>1161</v>
      </c>
      <c r="D64" s="34">
        <v>46831.44</v>
      </c>
      <c r="E64" s="34">
        <f t="shared" si="23"/>
        <v>46830</v>
      </c>
      <c r="F64" s="34">
        <f t="shared" si="23"/>
        <v>50852.25</v>
      </c>
      <c r="G64" s="34">
        <f t="shared" si="23"/>
        <v>50145</v>
      </c>
      <c r="H64" s="34">
        <f t="shared" si="23"/>
        <v>52559.5</v>
      </c>
      <c r="I64" s="34">
        <f t="shared" si="23"/>
        <v>54681.25</v>
      </c>
      <c r="J64" s="34">
        <f t="shared" si="23"/>
        <v>60632</v>
      </c>
      <c r="K64" s="34">
        <f t="shared" si="23"/>
        <v>93251</v>
      </c>
    </row>
    <row r="65" spans="1:11">
      <c r="A65" s="34">
        <v>34</v>
      </c>
      <c r="B65" s="46">
        <f t="shared" si="21"/>
        <v>1.2400000000000002</v>
      </c>
      <c r="C65" s="34">
        <v>1181</v>
      </c>
      <c r="D65" s="34">
        <v>47660</v>
      </c>
      <c r="E65" s="34">
        <f t="shared" si="23"/>
        <v>47660</v>
      </c>
      <c r="F65" s="34">
        <f t="shared" si="23"/>
        <v>51624</v>
      </c>
      <c r="G65" s="34">
        <f t="shared" si="23"/>
        <v>50880</v>
      </c>
      <c r="H65" s="34">
        <f t="shared" si="23"/>
        <v>53368</v>
      </c>
      <c r="I65" s="34">
        <f t="shared" si="23"/>
        <v>55600</v>
      </c>
      <c r="J65" s="34">
        <f t="shared" si="23"/>
        <v>61808</v>
      </c>
      <c r="K65" s="34">
        <f t="shared" si="23"/>
        <v>96044</v>
      </c>
    </row>
    <row r="66" spans="1:11">
      <c r="A66" s="34">
        <v>35</v>
      </c>
      <c r="B66" s="46">
        <f t="shared" si="21"/>
        <v>1.2500000000000002</v>
      </c>
      <c r="C66" s="34">
        <v>1060</v>
      </c>
      <c r="D66" s="34">
        <v>48500</v>
      </c>
      <c r="E66" s="34">
        <f t="shared" si="23"/>
        <v>48500</v>
      </c>
      <c r="F66" s="34">
        <f t="shared" si="23"/>
        <v>52406.25</v>
      </c>
      <c r="G66" s="34">
        <f t="shared" si="23"/>
        <v>51625</v>
      </c>
      <c r="H66" s="34">
        <f t="shared" si="23"/>
        <v>54187.5</v>
      </c>
      <c r="I66" s="34">
        <f t="shared" si="23"/>
        <v>56531.25</v>
      </c>
      <c r="J66" s="34">
        <f t="shared" si="23"/>
        <v>63000</v>
      </c>
      <c r="K66" s="34">
        <f t="shared" si="23"/>
        <v>98875</v>
      </c>
    </row>
    <row r="67" spans="1:11">
      <c r="A67" s="34">
        <v>36</v>
      </c>
      <c r="B67" s="46">
        <f t="shared" si="21"/>
        <v>1.2600000000000002</v>
      </c>
      <c r="C67" s="34">
        <v>995</v>
      </c>
      <c r="D67" s="34">
        <v>49350</v>
      </c>
      <c r="E67" s="34">
        <f t="shared" si="23"/>
        <v>49350</v>
      </c>
      <c r="F67" s="34">
        <f t="shared" si="23"/>
        <v>53199</v>
      </c>
      <c r="G67" s="34">
        <f t="shared" si="23"/>
        <v>52380</v>
      </c>
      <c r="H67" s="34">
        <f t="shared" si="23"/>
        <v>55018</v>
      </c>
      <c r="I67" s="34">
        <f t="shared" si="23"/>
        <v>57475</v>
      </c>
      <c r="J67" s="34">
        <f t="shared" si="23"/>
        <v>64208</v>
      </c>
      <c r="K67" s="34">
        <f t="shared" si="23"/>
        <v>101744.00000000001</v>
      </c>
    </row>
    <row r="68" spans="1:11">
      <c r="A68" s="34">
        <v>37</v>
      </c>
      <c r="B68" s="46">
        <f t="shared" si="21"/>
        <v>1.2700000000000002</v>
      </c>
      <c r="C68" s="34">
        <v>989</v>
      </c>
      <c r="D68" s="34">
        <v>50210</v>
      </c>
      <c r="E68" s="34">
        <f t="shared" si="23"/>
        <v>50210.000000000007</v>
      </c>
      <c r="F68" s="34">
        <f t="shared" si="23"/>
        <v>54002.25</v>
      </c>
      <c r="G68" s="34">
        <f t="shared" si="23"/>
        <v>53145</v>
      </c>
      <c r="H68" s="34">
        <f t="shared" si="23"/>
        <v>55859.5</v>
      </c>
      <c r="I68" s="34">
        <f t="shared" si="23"/>
        <v>58431.25</v>
      </c>
      <c r="J68" s="34">
        <f t="shared" si="23"/>
        <v>65432</v>
      </c>
      <c r="K68" s="34">
        <f t="shared" si="23"/>
        <v>104651.00000000001</v>
      </c>
    </row>
    <row r="69" spans="1:11">
      <c r="A69" s="34">
        <v>38</v>
      </c>
      <c r="B69" s="46">
        <f t="shared" si="21"/>
        <v>1.2800000000000002</v>
      </c>
      <c r="C69" s="34">
        <v>1006</v>
      </c>
      <c r="D69" s="34">
        <v>51080</v>
      </c>
      <c r="E69" s="34">
        <f t="shared" si="23"/>
        <v>51080.000000000007</v>
      </c>
      <c r="F69" s="34">
        <f t="shared" si="23"/>
        <v>54816</v>
      </c>
      <c r="G69" s="34">
        <f t="shared" si="23"/>
        <v>53920</v>
      </c>
      <c r="H69" s="34">
        <f t="shared" si="23"/>
        <v>56712</v>
      </c>
      <c r="I69" s="34">
        <f t="shared" si="23"/>
        <v>59400</v>
      </c>
      <c r="J69" s="34">
        <f t="shared" si="23"/>
        <v>66672</v>
      </c>
      <c r="K69" s="34">
        <f t="shared" si="23"/>
        <v>107596.00000000001</v>
      </c>
    </row>
    <row r="70" spans="1:11">
      <c r="A70" s="34">
        <v>39</v>
      </c>
      <c r="B70" s="46">
        <f t="shared" si="21"/>
        <v>1.2900000000000003</v>
      </c>
      <c r="C70" s="34">
        <v>883</v>
      </c>
      <c r="D70" s="34">
        <v>51960</v>
      </c>
      <c r="E70" s="34">
        <f t="shared" si="23"/>
        <v>51960.000000000007</v>
      </c>
      <c r="F70" s="34">
        <f t="shared" si="23"/>
        <v>55640.25</v>
      </c>
      <c r="G70" s="34">
        <f t="shared" si="23"/>
        <v>54705</v>
      </c>
      <c r="H70" s="34">
        <f t="shared" si="23"/>
        <v>57575.5</v>
      </c>
      <c r="I70" s="34">
        <f t="shared" si="23"/>
        <v>60381.25</v>
      </c>
      <c r="J70" s="34">
        <f t="shared" si="23"/>
        <v>67928</v>
      </c>
      <c r="K70" s="34">
        <f t="shared" si="23"/>
        <v>110579.00000000001</v>
      </c>
    </row>
    <row r="71" spans="1:11">
      <c r="A71" s="34">
        <v>40</v>
      </c>
      <c r="B71" s="46">
        <f t="shared" si="21"/>
        <v>1.3000000000000003</v>
      </c>
      <c r="C71" s="34">
        <v>921</v>
      </c>
      <c r="D71" s="34">
        <v>52850</v>
      </c>
      <c r="E71" s="34">
        <f t="shared" si="23"/>
        <v>52850.000000000007</v>
      </c>
      <c r="F71" s="34">
        <f t="shared" si="23"/>
        <v>56475</v>
      </c>
      <c r="G71" s="34">
        <f t="shared" si="23"/>
        <v>55500</v>
      </c>
      <c r="H71" s="34">
        <f t="shared" si="23"/>
        <v>58450</v>
      </c>
      <c r="I71" s="34">
        <f t="shared" si="23"/>
        <v>61375</v>
      </c>
      <c r="J71" s="34">
        <f t="shared" si="23"/>
        <v>69200</v>
      </c>
      <c r="K71" s="34">
        <f t="shared" si="23"/>
        <v>113600.00000000001</v>
      </c>
    </row>
    <row r="72" spans="1:11">
      <c r="A72" s="34">
        <v>41</v>
      </c>
      <c r="B72" s="46">
        <f>+B71+0.02</f>
        <v>1.3200000000000003</v>
      </c>
      <c r="C72" s="34">
        <v>870</v>
      </c>
      <c r="D72" s="34">
        <v>54000</v>
      </c>
      <c r="E72" s="34">
        <f t="shared" ref="E72:E97" si="24">E$3+(E$5*10+($A72-10)*E$6)*$B72+E$7</f>
        <v>54000.000000000007</v>
      </c>
      <c r="F72" s="34">
        <f t="shared" ref="F72:K81" si="25">IF(F$3+(F$5*10+($A72-10)*F$6)*$B72&lt;F$4,F$4,F$3+(F$5*10+($A72-10)*F$6)*$B72+F$7)</f>
        <v>57483</v>
      </c>
      <c r="G72" s="34">
        <f t="shared" si="25"/>
        <v>56460</v>
      </c>
      <c r="H72" s="34">
        <f t="shared" si="25"/>
        <v>59506</v>
      </c>
      <c r="I72" s="34">
        <f t="shared" si="25"/>
        <v>62575.000000000007</v>
      </c>
      <c r="J72" s="34">
        <f t="shared" si="25"/>
        <v>70736</v>
      </c>
      <c r="K72" s="34">
        <f t="shared" si="25"/>
        <v>117248.00000000001</v>
      </c>
    </row>
    <row r="73" spans="1:11">
      <c r="A73" s="34">
        <v>42</v>
      </c>
      <c r="B73" s="46">
        <f t="shared" ref="B73:B97" si="26">+B72+0.02</f>
        <v>1.3400000000000003</v>
      </c>
      <c r="C73" s="34">
        <v>854</v>
      </c>
      <c r="D73" s="34">
        <v>55170</v>
      </c>
      <c r="E73" s="34">
        <f t="shared" si="24"/>
        <v>55170.000000000007</v>
      </c>
      <c r="F73" s="34">
        <f t="shared" si="25"/>
        <v>58512</v>
      </c>
      <c r="G73" s="34">
        <f t="shared" si="25"/>
        <v>57440</v>
      </c>
      <c r="H73" s="34">
        <f t="shared" si="25"/>
        <v>60584</v>
      </c>
      <c r="I73" s="34">
        <f t="shared" si="25"/>
        <v>63800.000000000007</v>
      </c>
      <c r="J73" s="34">
        <f t="shared" si="25"/>
        <v>72304</v>
      </c>
      <c r="K73" s="34">
        <f t="shared" si="25"/>
        <v>120972.00000000001</v>
      </c>
    </row>
    <row r="74" spans="1:11">
      <c r="A74" s="34">
        <v>43</v>
      </c>
      <c r="B74" s="46">
        <f t="shared" si="26"/>
        <v>1.3600000000000003</v>
      </c>
      <c r="C74" s="34">
        <v>766</v>
      </c>
      <c r="D74" s="34">
        <v>56360</v>
      </c>
      <c r="E74" s="34">
        <f t="shared" si="24"/>
        <v>56360.000000000007</v>
      </c>
      <c r="F74" s="34">
        <f t="shared" si="25"/>
        <v>59562.000000000007</v>
      </c>
      <c r="G74" s="34">
        <f t="shared" si="25"/>
        <v>58440</v>
      </c>
      <c r="H74" s="34">
        <f t="shared" si="25"/>
        <v>61684.000000000007</v>
      </c>
      <c r="I74" s="34">
        <f t="shared" si="25"/>
        <v>65050.000000000007</v>
      </c>
      <c r="J74" s="34">
        <f t="shared" si="25"/>
        <v>73904</v>
      </c>
      <c r="K74" s="34">
        <f t="shared" si="25"/>
        <v>124772.00000000001</v>
      </c>
    </row>
    <row r="75" spans="1:11">
      <c r="A75" s="34">
        <v>44</v>
      </c>
      <c r="B75" s="46">
        <f t="shared" si="26"/>
        <v>1.3800000000000003</v>
      </c>
      <c r="C75" s="34">
        <v>806</v>
      </c>
      <c r="D75" s="34">
        <v>57570</v>
      </c>
      <c r="E75" s="34">
        <f t="shared" si="24"/>
        <v>57570.000000000007</v>
      </c>
      <c r="F75" s="34">
        <f t="shared" si="25"/>
        <v>60633.000000000007</v>
      </c>
      <c r="G75" s="34">
        <f t="shared" si="25"/>
        <v>59460.000000000007</v>
      </c>
      <c r="H75" s="34">
        <f t="shared" si="25"/>
        <v>62806.000000000007</v>
      </c>
      <c r="I75" s="34">
        <f t="shared" si="25"/>
        <v>66325</v>
      </c>
      <c r="J75" s="34">
        <f t="shared" si="25"/>
        <v>75536</v>
      </c>
      <c r="K75" s="34">
        <f t="shared" si="25"/>
        <v>128648.00000000001</v>
      </c>
    </row>
    <row r="76" spans="1:11">
      <c r="A76" s="34">
        <v>45</v>
      </c>
      <c r="B76" s="46">
        <f t="shared" si="26"/>
        <v>1.4000000000000004</v>
      </c>
      <c r="C76" s="34">
        <v>779</v>
      </c>
      <c r="D76" s="34">
        <v>58800</v>
      </c>
      <c r="E76" s="34">
        <f t="shared" si="24"/>
        <v>58800.000000000007</v>
      </c>
      <c r="F76" s="34">
        <f t="shared" si="25"/>
        <v>61725.000000000007</v>
      </c>
      <c r="G76" s="34">
        <f t="shared" si="25"/>
        <v>60500.000000000007</v>
      </c>
      <c r="H76" s="34">
        <f t="shared" si="25"/>
        <v>63950.000000000007</v>
      </c>
      <c r="I76" s="34">
        <f t="shared" si="25"/>
        <v>67625</v>
      </c>
      <c r="J76" s="34">
        <f t="shared" si="25"/>
        <v>77200</v>
      </c>
      <c r="K76" s="34">
        <f t="shared" si="25"/>
        <v>132600.00000000003</v>
      </c>
    </row>
    <row r="77" spans="1:11">
      <c r="A77" s="34">
        <v>46</v>
      </c>
      <c r="B77" s="46">
        <f t="shared" si="26"/>
        <v>1.4200000000000004</v>
      </c>
      <c r="C77" s="34">
        <v>684</v>
      </c>
      <c r="D77" s="34">
        <v>60050</v>
      </c>
      <c r="E77" s="34">
        <f t="shared" si="24"/>
        <v>60050.000000000007</v>
      </c>
      <c r="F77" s="34">
        <f t="shared" si="25"/>
        <v>62838.000000000007</v>
      </c>
      <c r="G77" s="34">
        <f t="shared" si="25"/>
        <v>61560.000000000007</v>
      </c>
      <c r="H77" s="34">
        <f t="shared" si="25"/>
        <v>65116.000000000007</v>
      </c>
      <c r="I77" s="34">
        <f t="shared" si="25"/>
        <v>68950</v>
      </c>
      <c r="J77" s="34">
        <f t="shared" si="25"/>
        <v>78896</v>
      </c>
      <c r="K77" s="34">
        <f t="shared" si="25"/>
        <v>136628.00000000003</v>
      </c>
    </row>
    <row r="78" spans="1:11">
      <c r="A78" s="34">
        <v>47</v>
      </c>
      <c r="B78" s="46">
        <f t="shared" si="26"/>
        <v>1.4400000000000004</v>
      </c>
      <c r="C78" s="34">
        <v>621</v>
      </c>
      <c r="D78" s="34">
        <v>61320</v>
      </c>
      <c r="E78" s="34">
        <f t="shared" si="24"/>
        <v>61320.000000000015</v>
      </c>
      <c r="F78" s="34">
        <f t="shared" si="25"/>
        <v>63972.000000000007</v>
      </c>
      <c r="G78" s="34">
        <f t="shared" si="25"/>
        <v>62640.000000000007</v>
      </c>
      <c r="H78" s="34">
        <f t="shared" si="25"/>
        <v>66304</v>
      </c>
      <c r="I78" s="34">
        <f t="shared" si="25"/>
        <v>70300</v>
      </c>
      <c r="J78" s="34">
        <f t="shared" si="25"/>
        <v>80624.000000000015</v>
      </c>
      <c r="K78" s="34">
        <f t="shared" si="25"/>
        <v>140732.00000000003</v>
      </c>
    </row>
    <row r="79" spans="1:11">
      <c r="A79" s="34">
        <v>48</v>
      </c>
      <c r="B79" s="46">
        <f t="shared" si="26"/>
        <v>1.4600000000000004</v>
      </c>
      <c r="C79" s="34">
        <v>504</v>
      </c>
      <c r="D79" s="34">
        <v>62610</v>
      </c>
      <c r="E79" s="34">
        <f t="shared" si="24"/>
        <v>62610.000000000015</v>
      </c>
      <c r="F79" s="34">
        <f t="shared" si="25"/>
        <v>65127.000000000007</v>
      </c>
      <c r="G79" s="34">
        <f t="shared" si="25"/>
        <v>63740.000000000007</v>
      </c>
      <c r="H79" s="34">
        <f t="shared" si="25"/>
        <v>67514</v>
      </c>
      <c r="I79" s="34">
        <f t="shared" si="25"/>
        <v>71675</v>
      </c>
      <c r="J79" s="34">
        <f t="shared" si="25"/>
        <v>82384.000000000015</v>
      </c>
      <c r="K79" s="34">
        <f t="shared" si="25"/>
        <v>144912.00000000003</v>
      </c>
    </row>
    <row r="80" spans="1:11">
      <c r="A80" s="34">
        <v>49</v>
      </c>
      <c r="B80" s="46">
        <f t="shared" si="26"/>
        <v>1.4800000000000004</v>
      </c>
      <c r="C80" s="34">
        <v>418</v>
      </c>
      <c r="D80" s="34">
        <v>63920</v>
      </c>
      <c r="E80" s="34">
        <f t="shared" si="24"/>
        <v>63920.000000000015</v>
      </c>
      <c r="F80" s="34">
        <f t="shared" si="25"/>
        <v>66303</v>
      </c>
      <c r="G80" s="34">
        <f t="shared" si="25"/>
        <v>64860.000000000007</v>
      </c>
      <c r="H80" s="34">
        <f t="shared" si="25"/>
        <v>68746.000000000015</v>
      </c>
      <c r="I80" s="34">
        <f t="shared" si="25"/>
        <v>73075</v>
      </c>
      <c r="J80" s="34">
        <f t="shared" si="25"/>
        <v>84176.000000000015</v>
      </c>
      <c r="K80" s="34">
        <f t="shared" si="25"/>
        <v>149168.00000000003</v>
      </c>
    </row>
    <row r="81" spans="1:11">
      <c r="A81" s="34">
        <v>50</v>
      </c>
      <c r="B81" s="46">
        <f t="shared" si="26"/>
        <v>1.5000000000000004</v>
      </c>
      <c r="C81" s="34">
        <v>320</v>
      </c>
      <c r="D81" s="34">
        <v>65245.84</v>
      </c>
      <c r="E81" s="34">
        <f t="shared" si="24"/>
        <v>65250.000000000015</v>
      </c>
      <c r="F81" s="34">
        <f t="shared" si="25"/>
        <v>67500.000000000015</v>
      </c>
      <c r="G81" s="34">
        <f t="shared" si="25"/>
        <v>66000</v>
      </c>
      <c r="H81" s="34">
        <f t="shared" si="25"/>
        <v>70000</v>
      </c>
      <c r="I81" s="34">
        <f t="shared" si="25"/>
        <v>74500.000000000015</v>
      </c>
      <c r="J81" s="34">
        <f t="shared" si="25"/>
        <v>86000.000000000015</v>
      </c>
      <c r="K81" s="34">
        <f t="shared" si="25"/>
        <v>153500.00000000003</v>
      </c>
    </row>
    <row r="82" spans="1:11">
      <c r="A82" s="34">
        <v>51</v>
      </c>
      <c r="B82" s="46">
        <f t="shared" si="26"/>
        <v>1.5200000000000005</v>
      </c>
      <c r="C82" s="34">
        <v>269</v>
      </c>
      <c r="D82" s="34">
        <v>66600</v>
      </c>
      <c r="E82" s="34">
        <f t="shared" si="24"/>
        <v>66600.000000000015</v>
      </c>
      <c r="F82" s="34">
        <f t="shared" ref="F82:K91" si="27">IF(F$3+(F$5*10+($A82-10)*F$6)*$B82&lt;F$4,F$4,F$3+(F$5*10+($A82-10)*F$6)*$B82+F$7)</f>
        <v>68718.000000000015</v>
      </c>
      <c r="G82" s="34">
        <f t="shared" si="27"/>
        <v>67160.000000000015</v>
      </c>
      <c r="H82" s="34">
        <f t="shared" si="27"/>
        <v>71276</v>
      </c>
      <c r="I82" s="34">
        <f t="shared" si="27"/>
        <v>75950.000000000015</v>
      </c>
      <c r="J82" s="34">
        <f t="shared" si="27"/>
        <v>87856.000000000015</v>
      </c>
      <c r="K82" s="34">
        <f t="shared" si="27"/>
        <v>157908.00000000003</v>
      </c>
    </row>
    <row r="83" spans="1:11">
      <c r="A83" s="34">
        <v>52</v>
      </c>
      <c r="B83" s="46">
        <f t="shared" si="26"/>
        <v>1.5400000000000005</v>
      </c>
      <c r="C83" s="34">
        <v>206</v>
      </c>
      <c r="D83" s="34">
        <v>67970</v>
      </c>
      <c r="E83" s="34">
        <f t="shared" si="24"/>
        <v>67970.000000000015</v>
      </c>
      <c r="F83" s="34">
        <f t="shared" si="27"/>
        <v>69957</v>
      </c>
      <c r="G83" s="34">
        <f t="shared" si="27"/>
        <v>68340.000000000015</v>
      </c>
      <c r="H83" s="34">
        <f t="shared" si="27"/>
        <v>72574.000000000015</v>
      </c>
      <c r="I83" s="34">
        <f t="shared" si="27"/>
        <v>77425.000000000015</v>
      </c>
      <c r="J83" s="34">
        <f t="shared" si="27"/>
        <v>89744.000000000015</v>
      </c>
      <c r="K83" s="34">
        <f t="shared" si="27"/>
        <v>162392.00000000006</v>
      </c>
    </row>
    <row r="84" spans="1:11">
      <c r="A84" s="34">
        <v>53</v>
      </c>
      <c r="B84" s="46">
        <f t="shared" si="26"/>
        <v>1.5600000000000005</v>
      </c>
      <c r="C84" s="34">
        <v>153</v>
      </c>
      <c r="D84" s="34">
        <v>69360</v>
      </c>
      <c r="E84" s="34">
        <f t="shared" si="24"/>
        <v>69360.000000000015</v>
      </c>
      <c r="F84" s="34">
        <f t="shared" si="27"/>
        <v>71217.000000000015</v>
      </c>
      <c r="G84" s="34">
        <f t="shared" si="27"/>
        <v>69540</v>
      </c>
      <c r="H84" s="34">
        <f t="shared" si="27"/>
        <v>73894.000000000015</v>
      </c>
      <c r="I84" s="34">
        <f t="shared" si="27"/>
        <v>78925.000000000015</v>
      </c>
      <c r="J84" s="34">
        <f t="shared" si="27"/>
        <v>91664.000000000015</v>
      </c>
      <c r="K84" s="34">
        <f t="shared" si="27"/>
        <v>166952.00000000006</v>
      </c>
    </row>
    <row r="85" spans="1:11">
      <c r="A85" s="34">
        <v>54</v>
      </c>
      <c r="B85" s="46">
        <f t="shared" si="26"/>
        <v>1.5800000000000005</v>
      </c>
      <c r="C85" s="34">
        <v>106</v>
      </c>
      <c r="D85" s="34">
        <v>70770</v>
      </c>
      <c r="E85" s="34">
        <f t="shared" si="24"/>
        <v>70770.000000000015</v>
      </c>
      <c r="F85" s="34">
        <f t="shared" si="27"/>
        <v>72498.000000000015</v>
      </c>
      <c r="G85" s="34">
        <f t="shared" si="27"/>
        <v>70760.000000000015</v>
      </c>
      <c r="H85" s="34">
        <f t="shared" si="27"/>
        <v>75236.000000000015</v>
      </c>
      <c r="I85" s="34">
        <f t="shared" si="27"/>
        <v>80450.000000000015</v>
      </c>
      <c r="J85" s="34">
        <f t="shared" si="27"/>
        <v>93616.000000000015</v>
      </c>
      <c r="K85" s="34">
        <f t="shared" si="27"/>
        <v>171588.00000000003</v>
      </c>
    </row>
    <row r="86" spans="1:11">
      <c r="A86" s="34">
        <v>55</v>
      </c>
      <c r="B86" s="46">
        <f t="shared" si="26"/>
        <v>1.6000000000000005</v>
      </c>
      <c r="C86" s="34">
        <v>59</v>
      </c>
      <c r="D86" s="34">
        <v>72200</v>
      </c>
      <c r="E86" s="34">
        <f t="shared" si="24"/>
        <v>72200.000000000015</v>
      </c>
      <c r="F86" s="34">
        <f t="shared" si="27"/>
        <v>73800.000000000015</v>
      </c>
      <c r="G86" s="34">
        <f t="shared" si="27"/>
        <v>72000.000000000015</v>
      </c>
      <c r="H86" s="34">
        <f t="shared" si="27"/>
        <v>76600.000000000015</v>
      </c>
      <c r="I86" s="34">
        <f t="shared" si="27"/>
        <v>82000.000000000015</v>
      </c>
      <c r="J86" s="34">
        <f t="shared" si="27"/>
        <v>95600.000000000029</v>
      </c>
      <c r="K86" s="34">
        <f t="shared" si="27"/>
        <v>176300.00000000006</v>
      </c>
    </row>
    <row r="87" spans="1:11">
      <c r="A87" s="34">
        <v>56</v>
      </c>
      <c r="B87" s="46">
        <f t="shared" si="26"/>
        <v>1.6200000000000006</v>
      </c>
      <c r="C87" s="34">
        <v>53</v>
      </c>
      <c r="D87" s="34">
        <v>73650</v>
      </c>
      <c r="E87" s="34">
        <f t="shared" si="24"/>
        <v>73650.000000000015</v>
      </c>
      <c r="F87" s="34">
        <f t="shared" si="27"/>
        <v>75123.000000000015</v>
      </c>
      <c r="G87" s="34">
        <f t="shared" si="27"/>
        <v>73260.000000000015</v>
      </c>
      <c r="H87" s="34">
        <f t="shared" si="27"/>
        <v>77986.000000000015</v>
      </c>
      <c r="I87" s="34">
        <f t="shared" si="27"/>
        <v>83575.000000000015</v>
      </c>
      <c r="J87" s="34">
        <f t="shared" si="27"/>
        <v>97616.000000000029</v>
      </c>
      <c r="K87" s="34">
        <f t="shared" si="27"/>
        <v>181088.00000000006</v>
      </c>
    </row>
    <row r="88" spans="1:11">
      <c r="A88" s="34">
        <v>57</v>
      </c>
      <c r="B88" s="46">
        <f t="shared" si="26"/>
        <v>1.6400000000000006</v>
      </c>
      <c r="C88" s="34">
        <v>32</v>
      </c>
      <c r="D88" s="34">
        <v>75120</v>
      </c>
      <c r="E88" s="34">
        <f t="shared" si="24"/>
        <v>75120.000000000029</v>
      </c>
      <c r="F88" s="34">
        <f t="shared" si="27"/>
        <v>76467.000000000015</v>
      </c>
      <c r="G88" s="34">
        <f t="shared" si="27"/>
        <v>74540.000000000015</v>
      </c>
      <c r="H88" s="34">
        <f t="shared" si="27"/>
        <v>79394.000000000015</v>
      </c>
      <c r="I88" s="34">
        <f t="shared" si="27"/>
        <v>85175.000000000015</v>
      </c>
      <c r="J88" s="34">
        <f t="shared" si="27"/>
        <v>99664.000000000029</v>
      </c>
      <c r="K88" s="34">
        <f t="shared" si="27"/>
        <v>185952.00000000006</v>
      </c>
    </row>
    <row r="89" spans="1:11">
      <c r="A89" s="34">
        <v>58</v>
      </c>
      <c r="B89" s="46">
        <f t="shared" si="26"/>
        <v>1.6600000000000006</v>
      </c>
      <c r="C89" s="34">
        <v>40</v>
      </c>
      <c r="D89" s="34">
        <v>76610</v>
      </c>
      <c r="E89" s="34">
        <f t="shared" si="24"/>
        <v>76610.000000000029</v>
      </c>
      <c r="F89" s="34">
        <f t="shared" si="27"/>
        <v>77832.000000000015</v>
      </c>
      <c r="G89" s="34">
        <f t="shared" si="27"/>
        <v>75840.000000000015</v>
      </c>
      <c r="H89" s="34">
        <f t="shared" si="27"/>
        <v>80824.000000000015</v>
      </c>
      <c r="I89" s="34">
        <f t="shared" si="27"/>
        <v>86800.000000000015</v>
      </c>
      <c r="J89" s="34">
        <f t="shared" si="27"/>
        <v>101744.00000000003</v>
      </c>
      <c r="K89" s="34">
        <f t="shared" si="27"/>
        <v>190892.00000000006</v>
      </c>
    </row>
    <row r="90" spans="1:11">
      <c r="A90" s="34">
        <v>59</v>
      </c>
      <c r="B90" s="46">
        <f t="shared" si="26"/>
        <v>1.6800000000000006</v>
      </c>
      <c r="C90" s="34">
        <v>19</v>
      </c>
      <c r="D90" s="34">
        <v>78120</v>
      </c>
      <c r="E90" s="34">
        <f t="shared" si="24"/>
        <v>78120.000000000029</v>
      </c>
      <c r="F90" s="34">
        <f t="shared" si="27"/>
        <v>79218.000000000015</v>
      </c>
      <c r="G90" s="34">
        <f t="shared" si="27"/>
        <v>77160.000000000015</v>
      </c>
      <c r="H90" s="34">
        <f t="shared" si="27"/>
        <v>82276.000000000015</v>
      </c>
      <c r="I90" s="34">
        <f t="shared" si="27"/>
        <v>88450.000000000029</v>
      </c>
      <c r="J90" s="34">
        <f t="shared" si="27"/>
        <v>103856.00000000003</v>
      </c>
      <c r="K90" s="34">
        <f t="shared" si="27"/>
        <v>195908.00000000006</v>
      </c>
    </row>
    <row r="91" spans="1:11">
      <c r="A91" s="34">
        <v>60</v>
      </c>
      <c r="B91" s="46">
        <f t="shared" si="26"/>
        <v>1.7000000000000006</v>
      </c>
      <c r="C91" s="34">
        <v>15</v>
      </c>
      <c r="D91" s="34">
        <v>79650</v>
      </c>
      <c r="E91" s="34">
        <f t="shared" si="24"/>
        <v>79650.000000000029</v>
      </c>
      <c r="F91" s="34">
        <f t="shared" si="27"/>
        <v>80625.000000000015</v>
      </c>
      <c r="G91" s="34">
        <f t="shared" si="27"/>
        <v>78500.000000000015</v>
      </c>
      <c r="H91" s="34">
        <f t="shared" si="27"/>
        <v>83750.000000000015</v>
      </c>
      <c r="I91" s="34">
        <f t="shared" si="27"/>
        <v>90125.000000000029</v>
      </c>
      <c r="J91" s="34">
        <f t="shared" si="27"/>
        <v>106000.00000000003</v>
      </c>
      <c r="K91" s="34">
        <f t="shared" si="27"/>
        <v>201000.00000000006</v>
      </c>
    </row>
    <row r="92" spans="1:11">
      <c r="A92" s="34">
        <v>61</v>
      </c>
      <c r="B92" s="46">
        <f t="shared" si="26"/>
        <v>1.7200000000000006</v>
      </c>
      <c r="C92" s="34">
        <v>5</v>
      </c>
      <c r="D92" s="34">
        <v>81200</v>
      </c>
      <c r="E92" s="34">
        <f t="shared" si="24"/>
        <v>81200.000000000029</v>
      </c>
      <c r="F92" s="34">
        <f t="shared" ref="F92:K100" si="28">IF(F$3+(F$5*10+($A92-10)*F$6)*$B92&lt;F$4,F$4,F$3+(F$5*10+($A92-10)*F$6)*$B92+F$7)</f>
        <v>82053.000000000015</v>
      </c>
      <c r="G92" s="34">
        <f t="shared" si="28"/>
        <v>79860.000000000015</v>
      </c>
      <c r="H92" s="34">
        <f t="shared" si="28"/>
        <v>85246.000000000015</v>
      </c>
      <c r="I92" s="34">
        <f t="shared" si="28"/>
        <v>91825.000000000029</v>
      </c>
      <c r="J92" s="34">
        <f t="shared" si="28"/>
        <v>108176.00000000003</v>
      </c>
      <c r="K92" s="34">
        <f t="shared" si="28"/>
        <v>206168.00000000006</v>
      </c>
    </row>
    <row r="93" spans="1:11">
      <c r="A93" s="34">
        <v>62</v>
      </c>
      <c r="B93" s="46">
        <f t="shared" si="26"/>
        <v>1.7400000000000007</v>
      </c>
      <c r="C93" s="34">
        <v>5</v>
      </c>
      <c r="D93" s="34">
        <v>82770</v>
      </c>
      <c r="E93" s="34">
        <f t="shared" si="24"/>
        <v>82770.000000000029</v>
      </c>
      <c r="F93" s="34">
        <f t="shared" si="28"/>
        <v>83502.000000000015</v>
      </c>
      <c r="G93" s="34">
        <f t="shared" si="28"/>
        <v>81240.000000000015</v>
      </c>
      <c r="H93" s="34">
        <f t="shared" si="28"/>
        <v>86764.000000000029</v>
      </c>
      <c r="I93" s="34">
        <f t="shared" si="28"/>
        <v>93550.000000000029</v>
      </c>
      <c r="J93" s="34">
        <f t="shared" si="28"/>
        <v>110384.00000000003</v>
      </c>
      <c r="K93" s="34">
        <f t="shared" si="28"/>
        <v>211412.00000000006</v>
      </c>
    </row>
    <row r="94" spans="1:11">
      <c r="A94" s="34">
        <v>63</v>
      </c>
      <c r="B94" s="46">
        <f t="shared" si="26"/>
        <v>1.7600000000000007</v>
      </c>
      <c r="C94" s="34">
        <v>9</v>
      </c>
      <c r="D94" s="34">
        <v>84360</v>
      </c>
      <c r="E94" s="34">
        <f t="shared" si="24"/>
        <v>84360.000000000029</v>
      </c>
      <c r="F94" s="34">
        <f t="shared" si="28"/>
        <v>84972.000000000029</v>
      </c>
      <c r="G94" s="34">
        <f t="shared" si="28"/>
        <v>82640.000000000015</v>
      </c>
      <c r="H94" s="34">
        <f t="shared" si="28"/>
        <v>88304.000000000029</v>
      </c>
      <c r="I94" s="34">
        <f t="shared" si="28"/>
        <v>95300.000000000029</v>
      </c>
      <c r="J94" s="34">
        <f t="shared" si="28"/>
        <v>112624.00000000003</v>
      </c>
      <c r="K94" s="34">
        <f t="shared" si="28"/>
        <v>216732.00000000006</v>
      </c>
    </row>
    <row r="95" spans="1:11">
      <c r="A95" s="34">
        <v>66</v>
      </c>
      <c r="B95" s="46">
        <v>1.82</v>
      </c>
      <c r="C95" s="34">
        <v>1</v>
      </c>
      <c r="D95" s="34">
        <v>85970</v>
      </c>
      <c r="E95" s="34">
        <f t="shared" si="24"/>
        <v>89250</v>
      </c>
      <c r="F95" s="34">
        <f t="shared" si="28"/>
        <v>89508</v>
      </c>
      <c r="G95" s="34">
        <f t="shared" si="28"/>
        <v>86960</v>
      </c>
      <c r="H95" s="34">
        <f t="shared" si="28"/>
        <v>93056</v>
      </c>
      <c r="I95" s="34">
        <f t="shared" si="28"/>
        <v>100700</v>
      </c>
      <c r="J95" s="34">
        <f t="shared" si="28"/>
        <v>119536</v>
      </c>
      <c r="K95" s="34">
        <f t="shared" si="28"/>
        <v>233148</v>
      </c>
    </row>
    <row r="96" spans="1:11">
      <c r="A96" s="34">
        <v>67</v>
      </c>
      <c r="B96" s="46">
        <f t="shared" si="26"/>
        <v>1.84</v>
      </c>
      <c r="C96" s="34">
        <v>2</v>
      </c>
      <c r="D96" s="34">
        <v>90920</v>
      </c>
      <c r="E96" s="34">
        <f t="shared" si="24"/>
        <v>90920</v>
      </c>
      <c r="F96" s="34">
        <f t="shared" si="28"/>
        <v>91062</v>
      </c>
      <c r="G96" s="34">
        <f t="shared" si="28"/>
        <v>88440</v>
      </c>
      <c r="H96" s="34">
        <f t="shared" si="28"/>
        <v>94684</v>
      </c>
      <c r="I96" s="34">
        <f t="shared" si="28"/>
        <v>102550</v>
      </c>
      <c r="J96" s="34">
        <f t="shared" si="28"/>
        <v>121904</v>
      </c>
      <c r="K96" s="34">
        <f t="shared" si="28"/>
        <v>238772</v>
      </c>
    </row>
    <row r="97" spans="1:11">
      <c r="A97" s="34">
        <v>68</v>
      </c>
      <c r="B97" s="46">
        <f t="shared" si="26"/>
        <v>1.86</v>
      </c>
      <c r="C97" s="34">
        <v>1</v>
      </c>
      <c r="D97" s="34">
        <v>92610</v>
      </c>
      <c r="E97" s="34">
        <f t="shared" si="24"/>
        <v>92610</v>
      </c>
      <c r="F97" s="34">
        <f t="shared" si="28"/>
        <v>92637</v>
      </c>
      <c r="G97" s="34">
        <f t="shared" si="28"/>
        <v>89940</v>
      </c>
      <c r="H97" s="34">
        <f t="shared" si="28"/>
        <v>96334</v>
      </c>
      <c r="I97" s="34">
        <f t="shared" si="28"/>
        <v>104425</v>
      </c>
      <c r="J97" s="34">
        <f t="shared" si="28"/>
        <v>124304</v>
      </c>
      <c r="K97" s="34">
        <f t="shared" si="28"/>
        <v>244472</v>
      </c>
    </row>
    <row r="98" spans="1:11">
      <c r="A98" s="34">
        <v>87</v>
      </c>
      <c r="B98" s="29">
        <v>2</v>
      </c>
      <c r="C98" s="34">
        <v>1</v>
      </c>
      <c r="D98" s="34">
        <v>117000</v>
      </c>
      <c r="E98" s="34">
        <f>IF(E$3+(E$5*10+($A98-10)*E$6)*$B98+E$7&lt;$D98,$D98,E$3+(E$5*10+($A98-10)*E$6)*$B98+E$7)</f>
        <v>117000</v>
      </c>
      <c r="F98" s="34">
        <f t="shared" si="28"/>
        <v>116850</v>
      </c>
      <c r="G98" s="34">
        <f t="shared" si="28"/>
        <v>113000</v>
      </c>
      <c r="H98" s="34">
        <f t="shared" si="28"/>
        <v>121700</v>
      </c>
      <c r="I98" s="34">
        <f t="shared" si="28"/>
        <v>133250</v>
      </c>
      <c r="J98" s="34">
        <f t="shared" si="28"/>
        <v>161200</v>
      </c>
      <c r="K98" s="34">
        <f t="shared" si="28"/>
        <v>332100</v>
      </c>
    </row>
    <row r="99" spans="1:11">
      <c r="A99" s="34">
        <v>113</v>
      </c>
      <c r="B99" s="29">
        <v>2</v>
      </c>
      <c r="C99" s="34">
        <v>1</v>
      </c>
      <c r="D99" s="34">
        <v>143000</v>
      </c>
      <c r="E99" s="34">
        <f>IF(E$3+(E$5*10+($A99-10)*E$6)*$B99+E$7&lt;$D99,$D99,E$3+(E$5*10+($A99-10)*E$6)*$B99+E$7)</f>
        <v>143000</v>
      </c>
      <c r="F99" s="34">
        <f t="shared" si="28"/>
        <v>144150</v>
      </c>
      <c r="G99" s="34">
        <f t="shared" si="28"/>
        <v>139000</v>
      </c>
      <c r="H99" s="34">
        <f t="shared" si="28"/>
        <v>150300</v>
      </c>
      <c r="I99" s="34">
        <f t="shared" si="28"/>
        <v>165750</v>
      </c>
      <c r="J99" s="34">
        <f t="shared" si="28"/>
        <v>202800</v>
      </c>
      <c r="K99" s="34">
        <f t="shared" si="28"/>
        <v>430900</v>
      </c>
    </row>
    <row r="100" spans="1:11">
      <c r="A100" s="34">
        <v>117</v>
      </c>
      <c r="B100" s="29">
        <v>2</v>
      </c>
      <c r="C100" s="34">
        <v>1</v>
      </c>
      <c r="D100" s="34">
        <v>162526</v>
      </c>
      <c r="E100" s="34">
        <f>IF(E$3+(E$5*10+($A100-10)*E$6)*$B100+E$7&lt;$D100,$D100,E$3+(E$5*10+($A100-10)*E$6)*$B100+E$7)</f>
        <v>162526</v>
      </c>
      <c r="F100" s="34">
        <f t="shared" si="28"/>
        <v>148350</v>
      </c>
      <c r="G100" s="34">
        <f t="shared" si="28"/>
        <v>143000</v>
      </c>
      <c r="H100" s="34">
        <f t="shared" si="28"/>
        <v>154700</v>
      </c>
      <c r="I100" s="34">
        <f t="shared" si="28"/>
        <v>170750</v>
      </c>
      <c r="J100" s="34">
        <f t="shared" si="28"/>
        <v>209200</v>
      </c>
      <c r="K100" s="34">
        <f t="shared" si="28"/>
        <v>446100</v>
      </c>
    </row>
    <row r="101" spans="1:11">
      <c r="C101" s="237">
        <v>59542</v>
      </c>
    </row>
    <row r="102" spans="1:11">
      <c r="C102" s="39">
        <f>SUM(C31:C100)</f>
        <v>57288</v>
      </c>
      <c r="D102" s="39">
        <v>38693.437187195595</v>
      </c>
      <c r="E102" s="39">
        <f t="shared" ref="E102:K102" si="29">+SUMPRODUCT(E31:E100,$C$31:$C$100)/$C$102</f>
        <v>42121.921449518224</v>
      </c>
      <c r="F102" s="39">
        <f t="shared" si="29"/>
        <v>46469.580278592373</v>
      </c>
      <c r="G102" s="39">
        <f t="shared" si="29"/>
        <v>45971.028836754645</v>
      </c>
      <c r="H102" s="39">
        <f t="shared" si="29"/>
        <v>47968.131720430109</v>
      </c>
      <c r="I102" s="39">
        <f t="shared" si="29"/>
        <v>49463.786045943307</v>
      </c>
      <c r="J102" s="39">
        <f t="shared" si="29"/>
        <v>53953.646138807431</v>
      </c>
      <c r="K102" s="39">
        <f t="shared" si="29"/>
        <v>77389.909579667641</v>
      </c>
    </row>
    <row r="104" spans="1:11">
      <c r="E104" s="37"/>
      <c r="F104" s="37"/>
      <c r="G104" s="37"/>
      <c r="H104" s="37"/>
      <c r="I104" s="37"/>
      <c r="J104" s="37"/>
      <c r="K104" s="37"/>
    </row>
  </sheetData>
  <mergeCells count="1">
    <mergeCell ref="C29:D29"/>
  </mergeCells>
  <conditionalFormatting sqref="K22:K26">
    <cfRule type="colorScale" priority="9">
      <colorScale>
        <cfvo type="min"/>
        <cfvo type="max"/>
        <color rgb="FFFFEF9C"/>
        <color rgb="FF63BE7B"/>
      </colorScale>
    </cfRule>
  </conditionalFormatting>
  <conditionalFormatting sqref="G22:H26">
    <cfRule type="colorScale" priority="13">
      <colorScale>
        <cfvo type="min"/>
        <cfvo type="percentile" val="50"/>
        <cfvo type="max"/>
        <color rgb="FFF8696B"/>
        <color rgb="FFFFEB84"/>
        <color rgb="FF63BE7B"/>
      </colorScale>
    </cfRule>
  </conditionalFormatting>
  <conditionalFormatting sqref="I22:J26">
    <cfRule type="colorScale" priority="11">
      <colorScale>
        <cfvo type="min"/>
        <cfvo type="percentile" val="50"/>
        <cfvo type="max"/>
        <color rgb="FFF8696B"/>
        <color rgb="FFFFEB84"/>
        <color rgb="FF63BE7B"/>
      </colorScale>
    </cfRule>
  </conditionalFormatting>
  <conditionalFormatting sqref="G14:H18">
    <cfRule type="colorScale" priority="3">
      <colorScale>
        <cfvo type="min"/>
        <cfvo type="percentile" val="50"/>
        <cfvo type="max"/>
        <color rgb="FFF8696B"/>
        <color rgb="FFFFEB84"/>
        <color rgb="FF63BE7B"/>
      </colorScale>
    </cfRule>
  </conditionalFormatting>
  <conditionalFormatting sqref="I14:K18">
    <cfRule type="colorScale" priority="1">
      <colorScale>
        <cfvo type="min"/>
        <cfvo type="percentile" val="50"/>
        <cfvo type="max"/>
        <color rgb="FFF8696B"/>
        <color rgb="FFFFEB84"/>
        <color rgb="FF63BE7B"/>
      </colorScale>
    </cfRule>
  </conditionalFormatting>
  <pageMargins left="0" right="0" top="0" bottom="0" header="0.31496062992126" footer="0.31496062992126"/>
  <pageSetup paperSize="9" scale="70"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2"/>
  <sheetViews>
    <sheetView zoomScaleNormal="100" workbookViewId="0">
      <selection activeCell="H7" sqref="H7"/>
    </sheetView>
  </sheetViews>
  <sheetFormatPr defaultColWidth="8.85546875" defaultRowHeight="17.25" outlineLevelRow="1"/>
  <cols>
    <col min="1" max="1" width="6.28515625" style="23" customWidth="1"/>
    <col min="2" max="2" width="9.140625" style="23" customWidth="1"/>
    <col min="3" max="3" width="11.42578125" style="23" customWidth="1"/>
    <col min="4" max="4" width="16.140625" style="24" bestFit="1" customWidth="1"/>
    <col min="5" max="5" width="13.140625" style="23" bestFit="1" customWidth="1"/>
    <col min="6" max="6" width="13.140625" style="23" customWidth="1"/>
    <col min="7" max="7" width="11.85546875" style="23" bestFit="1" customWidth="1"/>
    <col min="8" max="8" width="11.85546875" style="23" customWidth="1"/>
    <col min="9" max="9" width="13.42578125" style="23" bestFit="1" customWidth="1"/>
    <col min="10" max="10" width="13.42578125" style="23" customWidth="1"/>
    <col min="11" max="11" width="11.85546875" style="23" bestFit="1" customWidth="1"/>
    <col min="12" max="12" width="14" style="23" customWidth="1"/>
    <col min="13" max="16384" width="8.85546875" style="23"/>
  </cols>
  <sheetData>
    <row r="1" spans="1:11">
      <c r="A1" s="23" t="s">
        <v>252</v>
      </c>
      <c r="E1" s="363">
        <f>+ընդհանուր!F6</f>
        <v>6</v>
      </c>
      <c r="F1" s="363">
        <f>+ընդհանուր!G6</f>
        <v>6</v>
      </c>
      <c r="G1" s="363">
        <f>+ընդհանուր!H6</f>
        <v>6</v>
      </c>
      <c r="H1" s="363">
        <f>+ընդհանուր!I6</f>
        <v>6</v>
      </c>
      <c r="I1" s="363">
        <f>+ընդհանուր!J6</f>
        <v>6</v>
      </c>
      <c r="J1" s="363">
        <f>+ընդհանուր!K6</f>
        <v>6</v>
      </c>
      <c r="K1" s="23">
        <v>12</v>
      </c>
    </row>
    <row r="2" spans="1:11" ht="34.5">
      <c r="C2" s="26"/>
      <c r="D2" s="26"/>
      <c r="E2" s="354" t="s">
        <v>217</v>
      </c>
      <c r="F2" s="354" t="s">
        <v>218</v>
      </c>
      <c r="G2" s="354" t="s">
        <v>219</v>
      </c>
      <c r="H2" s="354" t="s">
        <v>220</v>
      </c>
      <c r="I2" s="354" t="s">
        <v>221</v>
      </c>
      <c r="J2" s="354" t="s">
        <v>222</v>
      </c>
      <c r="K2" s="223">
        <v>2026</v>
      </c>
    </row>
    <row r="3" spans="1:11">
      <c r="C3" s="26" t="s">
        <v>22</v>
      </c>
      <c r="D3" s="26"/>
      <c r="E3" s="41">
        <f>+ընդհանուր!E10</f>
        <v>21000</v>
      </c>
      <c r="F3" s="41">
        <f>+ընդհանուր!F10</f>
        <v>36000</v>
      </c>
      <c r="G3" s="41">
        <f>+ընդհանուր!G10</f>
        <v>36000</v>
      </c>
      <c r="H3" s="41">
        <f>+ընդհանուր!H10</f>
        <v>37000</v>
      </c>
      <c r="I3" s="41">
        <f>+ընդհանուր!I10</f>
        <v>37000</v>
      </c>
      <c r="J3" s="41">
        <f>+ընդհանուր!J10</f>
        <v>38000</v>
      </c>
      <c r="K3" s="41">
        <f>+ընդհանուր!K10</f>
        <v>39500</v>
      </c>
    </row>
    <row r="4" spans="1:11">
      <c r="C4" s="26" t="s">
        <v>23</v>
      </c>
      <c r="D4" s="26"/>
      <c r="E4" s="41">
        <f>+ընդհանուր!E11</f>
        <v>31600</v>
      </c>
      <c r="F4" s="41">
        <f>+ընդհանուր!F11</f>
        <v>0</v>
      </c>
      <c r="G4" s="41">
        <f>+ընդհանուր!G11</f>
        <v>0</v>
      </c>
      <c r="H4" s="41">
        <f>+ընդհանուր!H11</f>
        <v>0</v>
      </c>
      <c r="I4" s="41">
        <f>+ընդհանուր!I11</f>
        <v>0</v>
      </c>
      <c r="J4" s="41">
        <f>+ընդհանուր!J11</f>
        <v>0</v>
      </c>
      <c r="K4" s="41">
        <f>+ընդհանուր!K11</f>
        <v>0</v>
      </c>
    </row>
    <row r="5" spans="1:11">
      <c r="C5" s="26" t="s">
        <v>24</v>
      </c>
      <c r="D5" s="26"/>
      <c r="E5" s="41">
        <f>+ընդհանուր!E16</f>
        <v>950</v>
      </c>
      <c r="F5" s="41">
        <f>+ընդհանուր!F16</f>
        <v>0</v>
      </c>
      <c r="G5" s="41">
        <f>+ընդհանուր!G16</f>
        <v>0</v>
      </c>
      <c r="H5" s="41">
        <f>+ընդհանուր!H16</f>
        <v>0</v>
      </c>
      <c r="I5" s="41">
        <f>+ընդհանուր!I16</f>
        <v>0</v>
      </c>
      <c r="J5" s="41">
        <f>+ընդհանուր!J16</f>
        <v>0</v>
      </c>
      <c r="K5" s="41">
        <f>+ընդհանուր!K16</f>
        <v>0</v>
      </c>
    </row>
    <row r="6" spans="1:11">
      <c r="C6" s="26" t="s">
        <v>25</v>
      </c>
      <c r="D6" s="26"/>
      <c r="E6" s="41">
        <f>+ընդհանուր!E17</f>
        <v>500</v>
      </c>
      <c r="F6" s="41">
        <f>+ընդհանուր!F17</f>
        <v>525</v>
      </c>
      <c r="G6" s="41">
        <f>+ընդհանուր!G17</f>
        <v>500</v>
      </c>
      <c r="H6" s="41">
        <f>+ընդհանուր!H17</f>
        <v>550</v>
      </c>
      <c r="I6" s="41">
        <f>+ընդհանուր!I17</f>
        <v>625</v>
      </c>
      <c r="J6" s="41">
        <f>+ընդհանուր!J17</f>
        <v>800</v>
      </c>
      <c r="K6" s="41">
        <f>+ընդհանուր!K17</f>
        <v>1900</v>
      </c>
    </row>
    <row r="7" spans="1:11">
      <c r="C7" s="25" t="s">
        <v>43</v>
      </c>
      <c r="D7" s="23"/>
      <c r="E7" s="615">
        <f>SUMPRODUCT($C30:$C188,E30:E188)*E1/1000000000</f>
        <v>1.3955937</v>
      </c>
      <c r="F7" s="615">
        <f>SUMPRODUCT($C30:$C188,F30:F188)*F1/1000000000</f>
        <v>1.6878516795</v>
      </c>
      <c r="G7" s="615">
        <f t="shared" ref="G7:K7" si="0">SUMPRODUCT($C30:$C188,G30:G188)*G1/1000000000</f>
        <v>1.6760217900000001</v>
      </c>
      <c r="H7" s="615">
        <f t="shared" si="0"/>
        <v>1.739665569</v>
      </c>
      <c r="I7" s="615">
        <f t="shared" si="0"/>
        <v>1.7751552374999999</v>
      </c>
      <c r="J7" s="615">
        <f t="shared" si="0"/>
        <v>1.8979484639999999</v>
      </c>
      <c r="K7" s="615">
        <f t="shared" si="0"/>
        <v>4.9568792039999998</v>
      </c>
    </row>
    <row r="8" spans="1:11">
      <c r="C8" s="25" t="s">
        <v>44</v>
      </c>
      <c r="D8" s="23"/>
    </row>
    <row r="9" spans="1:11">
      <c r="B9" s="47"/>
      <c r="I9" s="37"/>
      <c r="J9" s="37"/>
      <c r="K9" s="37"/>
    </row>
    <row r="10" spans="1:11" ht="17.25" hidden="1" customHeight="1" outlineLevel="1">
      <c r="B10" s="47"/>
      <c r="D10" s="23"/>
      <c r="E10" s="195"/>
      <c r="F10" s="195"/>
      <c r="G10" s="195"/>
      <c r="H10" s="195"/>
      <c r="I10" s="195"/>
      <c r="J10" s="195"/>
      <c r="K10" s="195"/>
    </row>
    <row r="11" spans="1:11" hidden="1" outlineLevel="1">
      <c r="B11" s="47"/>
      <c r="D11" s="201" t="s">
        <v>178</v>
      </c>
      <c r="E11" s="200" t="s">
        <v>189</v>
      </c>
      <c r="F11" s="200"/>
      <c r="G11" s="236" t="s">
        <v>181</v>
      </c>
      <c r="H11" s="236"/>
      <c r="I11" s="236" t="s">
        <v>181</v>
      </c>
      <c r="J11" s="236"/>
      <c r="K11" s="236" t="s">
        <v>181</v>
      </c>
    </row>
    <row r="12" spans="1:11" hidden="1" outlineLevel="1">
      <c r="B12" s="47"/>
      <c r="D12" s="202" t="s">
        <v>180</v>
      </c>
      <c r="E12" s="203">
        <f>SUMPRODUCT($C30:$C188,E30:E188)/SUM($C30:$C188)</f>
        <v>34903.804021608645</v>
      </c>
      <c r="F12" s="203"/>
      <c r="G12" s="214" t="e">
        <f>+#REF!/#REF!-1</f>
        <v>#REF!</v>
      </c>
      <c r="H12" s="214"/>
      <c r="I12" s="214" t="e">
        <f>+#REF!/#REF!-1</f>
        <v>#REF!</v>
      </c>
      <c r="J12" s="214"/>
      <c r="K12" s="214" t="e">
        <f>+E12/#REF!-1</f>
        <v>#REF!</v>
      </c>
    </row>
    <row r="13" spans="1:11" hidden="1" outlineLevel="1">
      <c r="B13" s="47"/>
      <c r="D13" s="197" t="s">
        <v>170</v>
      </c>
      <c r="E13" s="206">
        <f t="shared" ref="E13" si="1">SUMPRODUCT($C30:$C40,E30:E40)/SUM($C30:$C40)</f>
        <v>31600</v>
      </c>
      <c r="F13" s="206"/>
      <c r="G13" s="205" t="e">
        <f>+#REF!/#REF!-1</f>
        <v>#REF!</v>
      </c>
      <c r="H13" s="205"/>
      <c r="I13" s="205" t="e">
        <f>+#REF!/#REF!-1</f>
        <v>#REF!</v>
      </c>
      <c r="J13" s="205"/>
      <c r="K13" s="205" t="e">
        <f>+E13/#REF!-1</f>
        <v>#REF!</v>
      </c>
    </row>
    <row r="14" spans="1:11" hidden="1" outlineLevel="1">
      <c r="B14" s="47"/>
      <c r="D14" s="197" t="s">
        <v>171</v>
      </c>
      <c r="E14" s="206">
        <f t="shared" ref="E14" si="2">SUMPRODUCT($C30:$C50,E30:E50)/SUM($C30:$C50)</f>
        <v>31600</v>
      </c>
      <c r="F14" s="206"/>
      <c r="G14" s="205" t="e">
        <f>+#REF!/#REF!-1</f>
        <v>#REF!</v>
      </c>
      <c r="H14" s="205"/>
      <c r="I14" s="205" t="e">
        <f>+#REF!/#REF!-1</f>
        <v>#REF!</v>
      </c>
      <c r="J14" s="205"/>
      <c r="K14" s="205" t="e">
        <f>+E14/#REF!-1</f>
        <v>#REF!</v>
      </c>
    </row>
    <row r="15" spans="1:11" hidden="1" outlineLevel="1">
      <c r="B15" s="47"/>
      <c r="D15" s="197" t="s">
        <v>172</v>
      </c>
      <c r="E15" s="206">
        <f t="shared" ref="E15" si="3">SUMPRODUCT($C30:$C60,E30:E60)/SUM($C30:$C60)</f>
        <v>31647.250174703004</v>
      </c>
      <c r="F15" s="206"/>
      <c r="G15" s="205" t="e">
        <f>+#REF!/#REF!-1</f>
        <v>#REF!</v>
      </c>
      <c r="H15" s="205"/>
      <c r="I15" s="205" t="e">
        <f>+#REF!/#REF!-1</f>
        <v>#REF!</v>
      </c>
      <c r="J15" s="205"/>
      <c r="K15" s="205" t="e">
        <f>+E15/#REF!-1</f>
        <v>#REF!</v>
      </c>
    </row>
    <row r="16" spans="1:11" hidden="1" outlineLevel="1">
      <c r="B16" s="47"/>
      <c r="D16" s="197" t="s">
        <v>173</v>
      </c>
      <c r="E16" s="206">
        <f t="shared" ref="E16" si="4">SUMPRODUCT($C30:$C70,E30:E70)/SUM($C30:$C70)</f>
        <v>32262.827790519877</v>
      </c>
      <c r="F16" s="206"/>
      <c r="G16" s="205" t="e">
        <f>+#REF!/#REF!-1</f>
        <v>#REF!</v>
      </c>
      <c r="H16" s="205"/>
      <c r="I16" s="205" t="e">
        <f>+#REF!/#REF!-1</f>
        <v>#REF!</v>
      </c>
      <c r="J16" s="205"/>
      <c r="K16" s="205" t="e">
        <f>+E16/#REF!-1</f>
        <v>#REF!</v>
      </c>
    </row>
    <row r="17" spans="1:12" hidden="1" outlineLevel="1">
      <c r="B17" s="47"/>
      <c r="D17" s="197" t="s">
        <v>176</v>
      </c>
      <c r="E17" s="206">
        <f>SUMPRODUCT($C71:$C188,E71:E188)/SUM($C71:$C188)</f>
        <v>44552.957402234635</v>
      </c>
      <c r="F17" s="206"/>
      <c r="G17" s="205" t="e">
        <f>+#REF!/#REF!-1</f>
        <v>#REF!</v>
      </c>
      <c r="H17" s="205"/>
      <c r="I17" s="205" t="e">
        <f>+#REF!/#REF!-1</f>
        <v>#REF!</v>
      </c>
      <c r="J17" s="205"/>
      <c r="K17" s="205" t="e">
        <f>+E17/#REF!-1</f>
        <v>#REF!</v>
      </c>
    </row>
    <row r="18" spans="1:12" hidden="1" outlineLevel="1">
      <c r="B18" s="47"/>
      <c r="D18" s="23"/>
    </row>
    <row r="19" spans="1:12" ht="34.5" hidden="1" outlineLevel="1">
      <c r="B19" s="47"/>
      <c r="D19" s="201" t="s">
        <v>178</v>
      </c>
      <c r="E19" s="200" t="s">
        <v>179</v>
      </c>
      <c r="F19" s="200"/>
      <c r="G19" s="211">
        <v>2023</v>
      </c>
      <c r="H19" s="211"/>
      <c r="I19" s="212" t="s">
        <v>181</v>
      </c>
      <c r="J19" s="212"/>
      <c r="K19" s="215" t="s">
        <v>179</v>
      </c>
      <c r="L19" s="216" t="s">
        <v>182</v>
      </c>
    </row>
    <row r="20" spans="1:12" hidden="1" outlineLevel="1">
      <c r="B20" s="47"/>
      <c r="D20" s="202" t="s">
        <v>180</v>
      </c>
      <c r="E20" s="203">
        <f>SUMPRODUCT($C30:$C145,E30:E145)/SUM($C30:$C145)</f>
        <v>34758.981495411463</v>
      </c>
      <c r="F20" s="203"/>
      <c r="G20" s="213" t="e">
        <f>#REF!-#REF!</f>
        <v>#REF!</v>
      </c>
      <c r="H20" s="213"/>
      <c r="I20" s="214" t="e">
        <f>#REF!/#REF!-100%</f>
        <v>#REF!</v>
      </c>
      <c r="J20" s="214"/>
      <c r="K20" s="217" t="e">
        <f>E20-#REF!</f>
        <v>#REF!</v>
      </c>
      <c r="L20" s="218" t="e">
        <f>#REF!/#REF!-100%</f>
        <v>#REF!</v>
      </c>
    </row>
    <row r="21" spans="1:12" hidden="1" outlineLevel="1">
      <c r="B21" s="47"/>
      <c r="D21" s="197" t="s">
        <v>170</v>
      </c>
      <c r="E21" s="206">
        <f t="shared" ref="E21" si="5">SUMPRODUCT($C30:$C40,E30:E40)/SUM($C30:$C40)</f>
        <v>31600</v>
      </c>
      <c r="F21" s="206"/>
      <c r="G21" s="198" t="e">
        <f>#REF!-#REF!</f>
        <v>#REF!</v>
      </c>
      <c r="H21" s="198"/>
      <c r="I21" s="205" t="e">
        <f>#REF!/#REF!-100%</f>
        <v>#REF!</v>
      </c>
      <c r="J21" s="205"/>
      <c r="K21" s="198" t="e">
        <f>E21-#REF!</f>
        <v>#REF!</v>
      </c>
      <c r="L21" s="205" t="e">
        <f>#REF!/#REF!-100%</f>
        <v>#REF!</v>
      </c>
    </row>
    <row r="22" spans="1:12" hidden="1" outlineLevel="1">
      <c r="B22" s="47"/>
      <c r="D22" s="197" t="s">
        <v>177</v>
      </c>
      <c r="E22" s="206">
        <f t="shared" ref="E22" si="6">SUMPRODUCT($C41:$C50,E41:E50)/SUM($C41:$C50)</f>
        <v>31600</v>
      </c>
      <c r="F22" s="206"/>
      <c r="G22" s="198" t="e">
        <f>#REF!-#REF!</f>
        <v>#REF!</v>
      </c>
      <c r="H22" s="198"/>
      <c r="I22" s="205" t="e">
        <f>#REF!/#REF!-100%</f>
        <v>#REF!</v>
      </c>
      <c r="J22" s="205"/>
      <c r="K22" s="198" t="e">
        <f>E22-#REF!</f>
        <v>#REF!</v>
      </c>
      <c r="L22" s="205" t="e">
        <f>#REF!/#REF!-100%</f>
        <v>#REF!</v>
      </c>
    </row>
    <row r="23" spans="1:12" hidden="1" outlineLevel="1">
      <c r="B23" s="47"/>
      <c r="D23" s="197" t="s">
        <v>174</v>
      </c>
      <c r="E23" s="206">
        <f t="shared" ref="E23" si="7">SUMPRODUCT($C51:$C60,E51:E60)/SUM($C51:$C60)</f>
        <v>31767.779156327542</v>
      </c>
      <c r="F23" s="206"/>
      <c r="G23" s="198" t="e">
        <f>#REF!-#REF!</f>
        <v>#REF!</v>
      </c>
      <c r="H23" s="198"/>
      <c r="I23" s="205" t="e">
        <f>#REF!/#REF!-100%</f>
        <v>#REF!</v>
      </c>
      <c r="J23" s="205"/>
      <c r="K23" s="198" t="e">
        <f>E23-#REF!</f>
        <v>#REF!</v>
      </c>
      <c r="L23" s="205" t="e">
        <f>#REF!/#REF!-100%</f>
        <v>#REF!</v>
      </c>
    </row>
    <row r="24" spans="1:12" hidden="1" outlineLevel="1">
      <c r="B24" s="47"/>
      <c r="D24" s="197" t="s">
        <v>175</v>
      </c>
      <c r="E24" s="206">
        <f t="shared" ref="E24" si="8">SUMPRODUCT($C61:$C70,E61:E70)/SUM($C61:$C70)</f>
        <v>35077.177848775296</v>
      </c>
      <c r="F24" s="206"/>
      <c r="G24" s="198" t="e">
        <f>#REF!-#REF!</f>
        <v>#REF!</v>
      </c>
      <c r="H24" s="198"/>
      <c r="I24" s="205" t="e">
        <f>#REF!/#REF!-100%</f>
        <v>#REF!</v>
      </c>
      <c r="J24" s="205"/>
      <c r="K24" s="198" t="e">
        <f>E24-#REF!</f>
        <v>#REF!</v>
      </c>
      <c r="L24" s="205" t="e">
        <f>#REF!/#REF!-100%</f>
        <v>#REF!</v>
      </c>
    </row>
    <row r="25" spans="1:12" hidden="1" outlineLevel="1">
      <c r="B25" s="47"/>
      <c r="D25" s="197" t="s">
        <v>176</v>
      </c>
      <c r="E25" s="206">
        <f>SUMPRODUCT($C71:$C145,E71:E145)/SUM($C71:$C145)</f>
        <v>43988.57597173145</v>
      </c>
      <c r="F25" s="206"/>
      <c r="G25" s="198" t="e">
        <f>#REF!-#REF!</f>
        <v>#REF!</v>
      </c>
      <c r="H25" s="198"/>
      <c r="I25" s="205" t="e">
        <f>#REF!/#REF!-100%</f>
        <v>#REF!</v>
      </c>
      <c r="J25" s="205"/>
      <c r="K25" s="198" t="e">
        <f>E25-#REF!</f>
        <v>#REF!</v>
      </c>
      <c r="L25" s="205" t="e">
        <f>#REF!/#REF!-100%</f>
        <v>#REF!</v>
      </c>
    </row>
    <row r="26" spans="1:12" hidden="1" outlineLevel="1">
      <c r="B26" s="47"/>
      <c r="I26" s="37"/>
      <c r="J26" s="37"/>
      <c r="K26" s="37"/>
      <c r="L26" s="37"/>
    </row>
    <row r="27" spans="1:12" collapsed="1">
      <c r="B27" s="47"/>
      <c r="C27" s="24">
        <f>SUM(C30:C54)</f>
        <v>3651</v>
      </c>
      <c r="I27" s="37"/>
      <c r="J27" s="37"/>
      <c r="K27" s="37"/>
      <c r="L27" s="37"/>
    </row>
    <row r="28" spans="1:12" ht="34.5">
      <c r="A28" s="26"/>
      <c r="B28" s="32"/>
      <c r="C28" s="636" t="s">
        <v>26</v>
      </c>
      <c r="D28" s="637"/>
      <c r="E28" s="354" t="s">
        <v>217</v>
      </c>
      <c r="F28" s="354" t="s">
        <v>218</v>
      </c>
      <c r="G28" s="354" t="s">
        <v>219</v>
      </c>
      <c r="H28" s="354" t="s">
        <v>220</v>
      </c>
      <c r="I28" s="354" t="s">
        <v>221</v>
      </c>
      <c r="J28" s="354" t="s">
        <v>222</v>
      </c>
      <c r="K28" s="223">
        <v>2026</v>
      </c>
    </row>
    <row r="29" spans="1:12" s="28" customFormat="1" ht="35.1" customHeight="1">
      <c r="A29" s="49" t="s">
        <v>0</v>
      </c>
      <c r="B29" s="27" t="s">
        <v>30</v>
      </c>
      <c r="C29" s="27" t="s">
        <v>1</v>
      </c>
      <c r="D29" s="27" t="s">
        <v>7</v>
      </c>
      <c r="E29" s="27" t="s">
        <v>31</v>
      </c>
      <c r="F29" s="27" t="s">
        <v>31</v>
      </c>
      <c r="G29" s="27" t="s">
        <v>31</v>
      </c>
      <c r="H29" s="27" t="s">
        <v>31</v>
      </c>
      <c r="I29" s="27" t="s">
        <v>31</v>
      </c>
      <c r="J29" s="27" t="s">
        <v>31</v>
      </c>
      <c r="K29" s="27" t="s">
        <v>31</v>
      </c>
    </row>
    <row r="30" spans="1:12" s="28" customFormat="1">
      <c r="A30" s="29">
        <v>0</v>
      </c>
      <c r="B30" s="29">
        <f t="shared" ref="B30:B40" si="9">+A30*0.1</f>
        <v>0</v>
      </c>
      <c r="C30" s="605">
        <v>9</v>
      </c>
      <c r="D30" s="34">
        <v>31600</v>
      </c>
      <c r="E30" s="34">
        <f t="shared" ref="E30:K40" si="10">+IF(E$3+$A30*E$5*$B30/2&lt;E$4,E$4,E$3+$A30*E$5*$B30/2)</f>
        <v>31600</v>
      </c>
      <c r="F30" s="34">
        <f t="shared" si="10"/>
        <v>36000</v>
      </c>
      <c r="G30" s="34">
        <f t="shared" si="10"/>
        <v>36000</v>
      </c>
      <c r="H30" s="34">
        <f t="shared" si="10"/>
        <v>37000</v>
      </c>
      <c r="I30" s="34">
        <f t="shared" si="10"/>
        <v>37000</v>
      </c>
      <c r="J30" s="34">
        <f t="shared" si="10"/>
        <v>38000</v>
      </c>
      <c r="K30" s="34">
        <f t="shared" si="10"/>
        <v>39500</v>
      </c>
    </row>
    <row r="31" spans="1:12" s="28" customFormat="1">
      <c r="A31" s="29">
        <v>1</v>
      </c>
      <c r="B31" s="29">
        <f t="shared" si="9"/>
        <v>0.1</v>
      </c>
      <c r="C31" s="605">
        <v>10</v>
      </c>
      <c r="D31" s="34">
        <v>31600</v>
      </c>
      <c r="E31" s="34">
        <f t="shared" si="10"/>
        <v>31600</v>
      </c>
      <c r="F31" s="34">
        <f t="shared" si="10"/>
        <v>36000</v>
      </c>
      <c r="G31" s="34">
        <f t="shared" si="10"/>
        <v>36000</v>
      </c>
      <c r="H31" s="34">
        <f t="shared" si="10"/>
        <v>37000</v>
      </c>
      <c r="I31" s="34">
        <f t="shared" si="10"/>
        <v>37000</v>
      </c>
      <c r="J31" s="34">
        <f t="shared" si="10"/>
        <v>38000</v>
      </c>
      <c r="K31" s="34">
        <f t="shared" si="10"/>
        <v>39500</v>
      </c>
    </row>
    <row r="32" spans="1:12" s="28" customFormat="1">
      <c r="A32" s="29">
        <v>2</v>
      </c>
      <c r="B32" s="29">
        <f t="shared" si="9"/>
        <v>0.2</v>
      </c>
      <c r="C32" s="605">
        <v>4</v>
      </c>
      <c r="D32" s="34">
        <v>30850</v>
      </c>
      <c r="E32" s="34">
        <f t="shared" si="10"/>
        <v>31600</v>
      </c>
      <c r="F32" s="34">
        <f t="shared" si="10"/>
        <v>36000</v>
      </c>
      <c r="G32" s="34">
        <f t="shared" si="10"/>
        <v>36000</v>
      </c>
      <c r="H32" s="34">
        <f t="shared" si="10"/>
        <v>37000</v>
      </c>
      <c r="I32" s="34">
        <f t="shared" si="10"/>
        <v>37000</v>
      </c>
      <c r="J32" s="34">
        <f t="shared" si="10"/>
        <v>38000</v>
      </c>
      <c r="K32" s="34">
        <f t="shared" si="10"/>
        <v>39500</v>
      </c>
    </row>
    <row r="33" spans="1:12" s="28" customFormat="1">
      <c r="A33" s="29">
        <v>3</v>
      </c>
      <c r="B33" s="29">
        <f t="shared" si="9"/>
        <v>0.30000000000000004</v>
      </c>
      <c r="C33" s="605">
        <v>24</v>
      </c>
      <c r="D33" s="34">
        <v>31100</v>
      </c>
      <c r="E33" s="34">
        <f t="shared" si="10"/>
        <v>31600</v>
      </c>
      <c r="F33" s="34">
        <f t="shared" si="10"/>
        <v>36000</v>
      </c>
      <c r="G33" s="34">
        <f t="shared" si="10"/>
        <v>36000</v>
      </c>
      <c r="H33" s="34">
        <f t="shared" si="10"/>
        <v>37000</v>
      </c>
      <c r="I33" s="34">
        <f t="shared" si="10"/>
        <v>37000</v>
      </c>
      <c r="J33" s="34">
        <f t="shared" si="10"/>
        <v>38000</v>
      </c>
      <c r="K33" s="34">
        <f t="shared" si="10"/>
        <v>39500</v>
      </c>
    </row>
    <row r="34" spans="1:12">
      <c r="A34" s="29">
        <v>4</v>
      </c>
      <c r="B34" s="29">
        <f t="shared" si="9"/>
        <v>0.4</v>
      </c>
      <c r="C34" s="605">
        <v>22</v>
      </c>
      <c r="D34" s="34">
        <v>31463.636363636364</v>
      </c>
      <c r="E34" s="34">
        <f t="shared" si="10"/>
        <v>31600</v>
      </c>
      <c r="F34" s="34">
        <f t="shared" si="10"/>
        <v>36000</v>
      </c>
      <c r="G34" s="34">
        <f t="shared" si="10"/>
        <v>36000</v>
      </c>
      <c r="H34" s="34">
        <f t="shared" si="10"/>
        <v>37000</v>
      </c>
      <c r="I34" s="34">
        <f t="shared" si="10"/>
        <v>37000</v>
      </c>
      <c r="J34" s="34">
        <f t="shared" si="10"/>
        <v>38000</v>
      </c>
      <c r="K34" s="34">
        <f t="shared" si="10"/>
        <v>39500</v>
      </c>
      <c r="L34" s="37"/>
    </row>
    <row r="35" spans="1:12">
      <c r="A35" s="29">
        <v>5</v>
      </c>
      <c r="B35" s="29">
        <f t="shared" si="9"/>
        <v>0.5</v>
      </c>
      <c r="C35" s="605">
        <v>38</v>
      </c>
      <c r="D35" s="34">
        <v>31600</v>
      </c>
      <c r="E35" s="34">
        <f t="shared" si="10"/>
        <v>31600</v>
      </c>
      <c r="F35" s="34">
        <f t="shared" si="10"/>
        <v>36000</v>
      </c>
      <c r="G35" s="34">
        <f t="shared" si="10"/>
        <v>36000</v>
      </c>
      <c r="H35" s="34">
        <f t="shared" si="10"/>
        <v>37000</v>
      </c>
      <c r="I35" s="34">
        <f t="shared" si="10"/>
        <v>37000</v>
      </c>
      <c r="J35" s="34">
        <f t="shared" si="10"/>
        <v>38000</v>
      </c>
      <c r="K35" s="34">
        <f t="shared" si="10"/>
        <v>39500</v>
      </c>
      <c r="L35" s="37"/>
    </row>
    <row r="36" spans="1:12">
      <c r="A36" s="29">
        <v>6</v>
      </c>
      <c r="B36" s="29">
        <f t="shared" si="9"/>
        <v>0.60000000000000009</v>
      </c>
      <c r="C36" s="605">
        <v>78</v>
      </c>
      <c r="D36" s="34">
        <v>32139.871794871793</v>
      </c>
      <c r="E36" s="34">
        <f t="shared" si="10"/>
        <v>31600</v>
      </c>
      <c r="F36" s="34">
        <f t="shared" si="10"/>
        <v>36000</v>
      </c>
      <c r="G36" s="34">
        <f t="shared" si="10"/>
        <v>36000</v>
      </c>
      <c r="H36" s="34">
        <f t="shared" si="10"/>
        <v>37000</v>
      </c>
      <c r="I36" s="34">
        <f t="shared" si="10"/>
        <v>37000</v>
      </c>
      <c r="J36" s="34">
        <f t="shared" si="10"/>
        <v>38000</v>
      </c>
      <c r="K36" s="34">
        <f t="shared" si="10"/>
        <v>39500</v>
      </c>
      <c r="L36" s="37"/>
    </row>
    <row r="37" spans="1:12">
      <c r="A37" s="29">
        <v>7</v>
      </c>
      <c r="B37" s="29">
        <f t="shared" si="9"/>
        <v>0.70000000000000007</v>
      </c>
      <c r="C37" s="605">
        <v>89</v>
      </c>
      <c r="D37" s="34">
        <v>34632.674157303372</v>
      </c>
      <c r="E37" s="34">
        <f t="shared" si="10"/>
        <v>31600</v>
      </c>
      <c r="F37" s="34">
        <f t="shared" si="10"/>
        <v>36000</v>
      </c>
      <c r="G37" s="34">
        <f t="shared" si="10"/>
        <v>36000</v>
      </c>
      <c r="H37" s="34">
        <f t="shared" si="10"/>
        <v>37000</v>
      </c>
      <c r="I37" s="34">
        <f t="shared" si="10"/>
        <v>37000</v>
      </c>
      <c r="J37" s="34">
        <f t="shared" si="10"/>
        <v>38000</v>
      </c>
      <c r="K37" s="34">
        <f t="shared" si="10"/>
        <v>39500</v>
      </c>
      <c r="L37" s="37"/>
    </row>
    <row r="38" spans="1:12">
      <c r="A38" s="29">
        <v>8</v>
      </c>
      <c r="B38" s="29">
        <f t="shared" si="9"/>
        <v>0.8</v>
      </c>
      <c r="C38" s="605">
        <v>121</v>
      </c>
      <c r="D38" s="34">
        <v>32602.975206611569</v>
      </c>
      <c r="E38" s="34">
        <f t="shared" si="10"/>
        <v>31600</v>
      </c>
      <c r="F38" s="34">
        <f t="shared" si="10"/>
        <v>36000</v>
      </c>
      <c r="G38" s="34">
        <f t="shared" si="10"/>
        <v>36000</v>
      </c>
      <c r="H38" s="34">
        <f t="shared" si="10"/>
        <v>37000</v>
      </c>
      <c r="I38" s="34">
        <f t="shared" si="10"/>
        <v>37000</v>
      </c>
      <c r="J38" s="34">
        <f t="shared" si="10"/>
        <v>38000</v>
      </c>
      <c r="K38" s="34">
        <f t="shared" si="10"/>
        <v>39500</v>
      </c>
      <c r="L38" s="37"/>
    </row>
    <row r="39" spans="1:12">
      <c r="A39" s="29">
        <v>9</v>
      </c>
      <c r="B39" s="29">
        <f t="shared" si="9"/>
        <v>0.9</v>
      </c>
      <c r="C39" s="605">
        <v>144</v>
      </c>
      <c r="D39" s="34">
        <v>33975.680555555555</v>
      </c>
      <c r="E39" s="34">
        <f t="shared" si="10"/>
        <v>31600</v>
      </c>
      <c r="F39" s="34">
        <f t="shared" si="10"/>
        <v>36000</v>
      </c>
      <c r="G39" s="34">
        <f t="shared" si="10"/>
        <v>36000</v>
      </c>
      <c r="H39" s="34">
        <f t="shared" si="10"/>
        <v>37000</v>
      </c>
      <c r="I39" s="34">
        <f t="shared" si="10"/>
        <v>37000</v>
      </c>
      <c r="J39" s="34">
        <f t="shared" si="10"/>
        <v>38000</v>
      </c>
      <c r="K39" s="34">
        <f t="shared" si="10"/>
        <v>39500</v>
      </c>
      <c r="L39" s="37"/>
    </row>
    <row r="40" spans="1:12">
      <c r="A40" s="29">
        <v>10</v>
      </c>
      <c r="B40" s="29">
        <f t="shared" si="9"/>
        <v>1</v>
      </c>
      <c r="C40" s="605">
        <v>279</v>
      </c>
      <c r="D40" s="34">
        <v>32742.473118279569</v>
      </c>
      <c r="E40" s="34">
        <f t="shared" si="10"/>
        <v>31600</v>
      </c>
      <c r="F40" s="34">
        <f t="shared" si="10"/>
        <v>36000</v>
      </c>
      <c r="G40" s="34">
        <f t="shared" si="10"/>
        <v>36000</v>
      </c>
      <c r="H40" s="34">
        <f t="shared" si="10"/>
        <v>37000</v>
      </c>
      <c r="I40" s="34">
        <f t="shared" si="10"/>
        <v>37000</v>
      </c>
      <c r="J40" s="34">
        <f t="shared" si="10"/>
        <v>38000</v>
      </c>
      <c r="K40" s="34">
        <f t="shared" si="10"/>
        <v>39500</v>
      </c>
      <c r="L40" s="37"/>
    </row>
    <row r="41" spans="1:12">
      <c r="A41" s="29">
        <v>11</v>
      </c>
      <c r="B41" s="29">
        <f t="shared" ref="B41:B70" si="11">$B$40+(A41-10)*0.01</f>
        <v>1.01</v>
      </c>
      <c r="C41" s="605">
        <v>258</v>
      </c>
      <c r="D41" s="34">
        <v>32240.503875968992</v>
      </c>
      <c r="E41" s="34">
        <f t="shared" ref="E41:K50" si="12">+IF(E$3+(E$5*10+($A41-10)*E$6)*$B41/2&lt;E$4,E$4,E$3+(E$5*10+($A41-10)*E$6)*$B41/2)</f>
        <v>31600</v>
      </c>
      <c r="F41" s="34">
        <f t="shared" si="12"/>
        <v>36265.125</v>
      </c>
      <c r="G41" s="34">
        <f t="shared" si="12"/>
        <v>36252.5</v>
      </c>
      <c r="H41" s="34">
        <f t="shared" si="12"/>
        <v>37277.75</v>
      </c>
      <c r="I41" s="34">
        <f t="shared" si="12"/>
        <v>37315.625</v>
      </c>
      <c r="J41" s="34">
        <f t="shared" si="12"/>
        <v>38404</v>
      </c>
      <c r="K41" s="34">
        <f t="shared" si="12"/>
        <v>40459.5</v>
      </c>
      <c r="L41" s="37"/>
    </row>
    <row r="42" spans="1:12">
      <c r="A42" s="29">
        <v>12</v>
      </c>
      <c r="B42" s="29">
        <f t="shared" si="11"/>
        <v>1.02</v>
      </c>
      <c r="C42" s="605">
        <v>250</v>
      </c>
      <c r="D42" s="34">
        <v>31906.04</v>
      </c>
      <c r="E42" s="34">
        <f t="shared" si="12"/>
        <v>31600</v>
      </c>
      <c r="F42" s="34">
        <f t="shared" si="12"/>
        <v>36535.5</v>
      </c>
      <c r="G42" s="34">
        <f t="shared" si="12"/>
        <v>36510</v>
      </c>
      <c r="H42" s="34">
        <f t="shared" si="12"/>
        <v>37561</v>
      </c>
      <c r="I42" s="34">
        <f t="shared" si="12"/>
        <v>37637.5</v>
      </c>
      <c r="J42" s="34">
        <f t="shared" si="12"/>
        <v>38816</v>
      </c>
      <c r="K42" s="34">
        <f t="shared" si="12"/>
        <v>41438</v>
      </c>
      <c r="L42" s="37"/>
    </row>
    <row r="43" spans="1:12">
      <c r="A43" s="29">
        <v>13</v>
      </c>
      <c r="B43" s="29">
        <f t="shared" si="11"/>
        <v>1.03</v>
      </c>
      <c r="C43" s="605">
        <v>289</v>
      </c>
      <c r="D43" s="34">
        <v>31479.117647058825</v>
      </c>
      <c r="E43" s="34">
        <f t="shared" si="12"/>
        <v>31600</v>
      </c>
      <c r="F43" s="34">
        <f t="shared" si="12"/>
        <v>36811.125</v>
      </c>
      <c r="G43" s="34">
        <f t="shared" si="12"/>
        <v>36772.5</v>
      </c>
      <c r="H43" s="34">
        <f t="shared" si="12"/>
        <v>37849.75</v>
      </c>
      <c r="I43" s="34">
        <f t="shared" si="12"/>
        <v>37965.625</v>
      </c>
      <c r="J43" s="34">
        <f t="shared" si="12"/>
        <v>39236</v>
      </c>
      <c r="K43" s="34">
        <f t="shared" si="12"/>
        <v>42435.5</v>
      </c>
      <c r="L43" s="37"/>
    </row>
    <row r="44" spans="1:12">
      <c r="A44" s="29">
        <v>14</v>
      </c>
      <c r="B44" s="29">
        <f t="shared" si="11"/>
        <v>1.04</v>
      </c>
      <c r="C44" s="605">
        <v>252</v>
      </c>
      <c r="D44" s="34">
        <v>31617.380952380954</v>
      </c>
      <c r="E44" s="34">
        <f t="shared" si="12"/>
        <v>31600</v>
      </c>
      <c r="F44" s="34">
        <f t="shared" si="12"/>
        <v>37092</v>
      </c>
      <c r="G44" s="34">
        <f t="shared" si="12"/>
        <v>37040</v>
      </c>
      <c r="H44" s="34">
        <f t="shared" si="12"/>
        <v>38144</v>
      </c>
      <c r="I44" s="34">
        <f t="shared" si="12"/>
        <v>38300</v>
      </c>
      <c r="J44" s="34">
        <f t="shared" si="12"/>
        <v>39664</v>
      </c>
      <c r="K44" s="34">
        <f t="shared" si="12"/>
        <v>43452</v>
      </c>
      <c r="L44" s="37"/>
    </row>
    <row r="45" spans="1:12">
      <c r="A45" s="29">
        <v>15</v>
      </c>
      <c r="B45" s="29">
        <f t="shared" si="11"/>
        <v>1.05</v>
      </c>
      <c r="C45" s="605">
        <v>207</v>
      </c>
      <c r="D45" s="34">
        <v>33129.632850241549</v>
      </c>
      <c r="E45" s="34">
        <f t="shared" si="12"/>
        <v>31600</v>
      </c>
      <c r="F45" s="34">
        <f t="shared" si="12"/>
        <v>37378.125</v>
      </c>
      <c r="G45" s="34">
        <f t="shared" si="12"/>
        <v>37312.5</v>
      </c>
      <c r="H45" s="34">
        <f t="shared" si="12"/>
        <v>38443.75</v>
      </c>
      <c r="I45" s="34">
        <f t="shared" si="12"/>
        <v>38640.625</v>
      </c>
      <c r="J45" s="34">
        <f t="shared" si="12"/>
        <v>40100</v>
      </c>
      <c r="K45" s="34">
        <f t="shared" si="12"/>
        <v>44487.5</v>
      </c>
      <c r="L45" s="37"/>
    </row>
    <row r="46" spans="1:12">
      <c r="A46" s="29">
        <v>16</v>
      </c>
      <c r="B46" s="29">
        <f t="shared" si="11"/>
        <v>1.06</v>
      </c>
      <c r="C46" s="605">
        <v>252</v>
      </c>
      <c r="D46" s="34">
        <v>32171.726190476191</v>
      </c>
      <c r="E46" s="34">
        <f t="shared" si="12"/>
        <v>31600</v>
      </c>
      <c r="F46" s="34">
        <f t="shared" si="12"/>
        <v>37669.5</v>
      </c>
      <c r="G46" s="34">
        <f t="shared" si="12"/>
        <v>37590</v>
      </c>
      <c r="H46" s="34">
        <f t="shared" si="12"/>
        <v>38749</v>
      </c>
      <c r="I46" s="34">
        <f t="shared" si="12"/>
        <v>38987.5</v>
      </c>
      <c r="J46" s="34">
        <f t="shared" si="12"/>
        <v>40544</v>
      </c>
      <c r="K46" s="34">
        <f t="shared" si="12"/>
        <v>45542</v>
      </c>
      <c r="L46" s="37"/>
    </row>
    <row r="47" spans="1:12">
      <c r="A47" s="29">
        <v>17</v>
      </c>
      <c r="B47" s="29">
        <f t="shared" si="11"/>
        <v>1.07</v>
      </c>
      <c r="C47" s="605">
        <v>193</v>
      </c>
      <c r="D47" s="34">
        <v>33094.404145077722</v>
      </c>
      <c r="E47" s="34">
        <f t="shared" si="12"/>
        <v>31600</v>
      </c>
      <c r="F47" s="34">
        <f t="shared" si="12"/>
        <v>37966.125</v>
      </c>
      <c r="G47" s="34">
        <f t="shared" si="12"/>
        <v>37872.5</v>
      </c>
      <c r="H47" s="34">
        <f t="shared" si="12"/>
        <v>39059.75</v>
      </c>
      <c r="I47" s="34">
        <f t="shared" si="12"/>
        <v>39340.625</v>
      </c>
      <c r="J47" s="34">
        <f t="shared" si="12"/>
        <v>40996</v>
      </c>
      <c r="K47" s="34">
        <f t="shared" si="12"/>
        <v>46615.5</v>
      </c>
      <c r="L47" s="37"/>
    </row>
    <row r="48" spans="1:12">
      <c r="A48" s="29">
        <v>18</v>
      </c>
      <c r="B48" s="29">
        <f t="shared" si="11"/>
        <v>1.08</v>
      </c>
      <c r="C48" s="605">
        <v>196</v>
      </c>
      <c r="D48" s="34">
        <v>33508.928571428572</v>
      </c>
      <c r="E48" s="34">
        <f t="shared" si="12"/>
        <v>31600</v>
      </c>
      <c r="F48" s="34">
        <f t="shared" si="12"/>
        <v>38268</v>
      </c>
      <c r="G48" s="34">
        <f t="shared" si="12"/>
        <v>38160</v>
      </c>
      <c r="H48" s="34">
        <f t="shared" si="12"/>
        <v>39376</v>
      </c>
      <c r="I48" s="34">
        <f t="shared" si="12"/>
        <v>39700</v>
      </c>
      <c r="J48" s="34">
        <f t="shared" si="12"/>
        <v>41456</v>
      </c>
      <c r="K48" s="34">
        <f t="shared" si="12"/>
        <v>47708</v>
      </c>
      <c r="L48" s="37"/>
    </row>
    <row r="49" spans="1:12">
      <c r="A49" s="29">
        <v>19</v>
      </c>
      <c r="B49" s="29">
        <f t="shared" si="11"/>
        <v>1.0900000000000001</v>
      </c>
      <c r="C49" s="605">
        <v>195</v>
      </c>
      <c r="D49" s="34">
        <v>33016</v>
      </c>
      <c r="E49" s="34">
        <f t="shared" si="12"/>
        <v>31600</v>
      </c>
      <c r="F49" s="34">
        <f t="shared" si="12"/>
        <v>38575.125</v>
      </c>
      <c r="G49" s="34">
        <f t="shared" si="12"/>
        <v>38452.5</v>
      </c>
      <c r="H49" s="34">
        <f t="shared" si="12"/>
        <v>39697.75</v>
      </c>
      <c r="I49" s="34">
        <f t="shared" si="12"/>
        <v>40065.625</v>
      </c>
      <c r="J49" s="34">
        <f t="shared" si="12"/>
        <v>41924</v>
      </c>
      <c r="K49" s="34">
        <f t="shared" si="12"/>
        <v>48819.5</v>
      </c>
      <c r="L49" s="37"/>
    </row>
    <row r="50" spans="1:12">
      <c r="A50" s="29">
        <v>20</v>
      </c>
      <c r="B50" s="29">
        <f t="shared" si="11"/>
        <v>1.1000000000000001</v>
      </c>
      <c r="C50" s="605">
        <v>174</v>
      </c>
      <c r="D50" s="34">
        <v>34199.235632183911</v>
      </c>
      <c r="E50" s="34">
        <f t="shared" si="12"/>
        <v>31600</v>
      </c>
      <c r="F50" s="34">
        <f t="shared" si="12"/>
        <v>38887.5</v>
      </c>
      <c r="G50" s="34">
        <f t="shared" si="12"/>
        <v>38750</v>
      </c>
      <c r="H50" s="34">
        <f t="shared" si="12"/>
        <v>40025</v>
      </c>
      <c r="I50" s="34">
        <f t="shared" si="12"/>
        <v>40437.5</v>
      </c>
      <c r="J50" s="34">
        <f t="shared" si="12"/>
        <v>42400</v>
      </c>
      <c r="K50" s="34">
        <f t="shared" si="12"/>
        <v>49950</v>
      </c>
      <c r="L50" s="37"/>
    </row>
    <row r="51" spans="1:12">
      <c r="A51" s="29">
        <v>21</v>
      </c>
      <c r="B51" s="29">
        <f t="shared" si="11"/>
        <v>1.1100000000000001</v>
      </c>
      <c r="C51" s="605">
        <v>166</v>
      </c>
      <c r="D51" s="34">
        <v>32878.162650602411</v>
      </c>
      <c r="E51" s="34">
        <f t="shared" ref="E51:K60" si="13">+IF(E$3+(E$5*10+($A51-10)*E$6)*$B51/2&lt;E$4,E$4,E$3+(E$5*10+($A51-10)*E$6)*$B51/2)</f>
        <v>31600</v>
      </c>
      <c r="F51" s="34">
        <f t="shared" si="13"/>
        <v>39205.125</v>
      </c>
      <c r="G51" s="34">
        <f t="shared" si="13"/>
        <v>39052.5</v>
      </c>
      <c r="H51" s="34">
        <f t="shared" si="13"/>
        <v>40357.75</v>
      </c>
      <c r="I51" s="34">
        <f t="shared" si="13"/>
        <v>40815.625</v>
      </c>
      <c r="J51" s="34">
        <f t="shared" si="13"/>
        <v>42884</v>
      </c>
      <c r="K51" s="34">
        <f t="shared" si="13"/>
        <v>51099.5</v>
      </c>
      <c r="L51" s="37"/>
    </row>
    <row r="52" spans="1:12">
      <c r="A52" s="29">
        <v>22</v>
      </c>
      <c r="B52" s="29">
        <f t="shared" si="11"/>
        <v>1.1200000000000001</v>
      </c>
      <c r="C52" s="605">
        <v>143</v>
      </c>
      <c r="D52" s="34">
        <v>33339.475524475522</v>
      </c>
      <c r="E52" s="34">
        <f t="shared" si="13"/>
        <v>31600</v>
      </c>
      <c r="F52" s="34">
        <f t="shared" si="13"/>
        <v>39528</v>
      </c>
      <c r="G52" s="34">
        <f t="shared" si="13"/>
        <v>39360</v>
      </c>
      <c r="H52" s="34">
        <f t="shared" si="13"/>
        <v>40696</v>
      </c>
      <c r="I52" s="34">
        <f t="shared" si="13"/>
        <v>41200</v>
      </c>
      <c r="J52" s="34">
        <f t="shared" si="13"/>
        <v>43376</v>
      </c>
      <c r="K52" s="34">
        <f t="shared" si="13"/>
        <v>52268</v>
      </c>
      <c r="L52" s="37"/>
    </row>
    <row r="53" spans="1:12">
      <c r="A53" s="29">
        <v>23</v>
      </c>
      <c r="B53" s="29">
        <f t="shared" si="11"/>
        <v>1.1299999999999999</v>
      </c>
      <c r="C53" s="605">
        <v>134</v>
      </c>
      <c r="D53" s="34">
        <v>33333.73134328358</v>
      </c>
      <c r="E53" s="34">
        <f t="shared" si="13"/>
        <v>31600</v>
      </c>
      <c r="F53" s="34">
        <f t="shared" si="13"/>
        <v>39856.125</v>
      </c>
      <c r="G53" s="34">
        <f t="shared" si="13"/>
        <v>39672.5</v>
      </c>
      <c r="H53" s="34">
        <f t="shared" si="13"/>
        <v>41039.75</v>
      </c>
      <c r="I53" s="34">
        <f t="shared" si="13"/>
        <v>41590.625</v>
      </c>
      <c r="J53" s="34">
        <f t="shared" si="13"/>
        <v>43876</v>
      </c>
      <c r="K53" s="34">
        <f t="shared" si="13"/>
        <v>53455.5</v>
      </c>
      <c r="L53" s="37"/>
    </row>
    <row r="54" spans="1:12">
      <c r="A54" s="29">
        <v>24</v>
      </c>
      <c r="B54" s="29">
        <f t="shared" si="11"/>
        <v>1.1400000000000001</v>
      </c>
      <c r="C54" s="605">
        <v>124</v>
      </c>
      <c r="D54" s="34">
        <v>32146.814516129034</v>
      </c>
      <c r="E54" s="34">
        <f t="shared" si="13"/>
        <v>31600</v>
      </c>
      <c r="F54" s="34">
        <f t="shared" si="13"/>
        <v>40189.5</v>
      </c>
      <c r="G54" s="34">
        <f t="shared" si="13"/>
        <v>39990</v>
      </c>
      <c r="H54" s="34">
        <f t="shared" si="13"/>
        <v>41389</v>
      </c>
      <c r="I54" s="34">
        <f t="shared" si="13"/>
        <v>41987.5</v>
      </c>
      <c r="J54" s="34">
        <f t="shared" si="13"/>
        <v>44384</v>
      </c>
      <c r="K54" s="34">
        <f t="shared" si="13"/>
        <v>54662</v>
      </c>
      <c r="L54" s="37"/>
    </row>
    <row r="55" spans="1:12">
      <c r="A55" s="29">
        <v>25</v>
      </c>
      <c r="B55" s="29">
        <f t="shared" si="11"/>
        <v>1.1499999999999999</v>
      </c>
      <c r="C55" s="605">
        <v>118</v>
      </c>
      <c r="D55" s="34">
        <v>32252.686440677968</v>
      </c>
      <c r="E55" s="34">
        <f t="shared" si="13"/>
        <v>31600</v>
      </c>
      <c r="F55" s="34">
        <f t="shared" si="13"/>
        <v>40528.125</v>
      </c>
      <c r="G55" s="34">
        <f t="shared" si="13"/>
        <v>40312.5</v>
      </c>
      <c r="H55" s="34">
        <f t="shared" si="13"/>
        <v>41743.75</v>
      </c>
      <c r="I55" s="34">
        <f t="shared" si="13"/>
        <v>42390.625</v>
      </c>
      <c r="J55" s="34">
        <f t="shared" si="13"/>
        <v>44900</v>
      </c>
      <c r="K55" s="34">
        <f t="shared" si="13"/>
        <v>55887.5</v>
      </c>
      <c r="L55" s="37"/>
    </row>
    <row r="56" spans="1:12">
      <c r="A56" s="29">
        <v>26</v>
      </c>
      <c r="B56" s="29">
        <f t="shared" si="11"/>
        <v>1.1599999999999999</v>
      </c>
      <c r="C56" s="605">
        <v>123</v>
      </c>
      <c r="D56" s="34">
        <v>34994.024390243903</v>
      </c>
      <c r="E56" s="34">
        <f t="shared" si="13"/>
        <v>31600</v>
      </c>
      <c r="F56" s="34">
        <f t="shared" si="13"/>
        <v>40872</v>
      </c>
      <c r="G56" s="34">
        <f t="shared" si="13"/>
        <v>40640</v>
      </c>
      <c r="H56" s="34">
        <f t="shared" si="13"/>
        <v>42104</v>
      </c>
      <c r="I56" s="34">
        <f t="shared" si="13"/>
        <v>42800</v>
      </c>
      <c r="J56" s="34">
        <f t="shared" si="13"/>
        <v>45424</v>
      </c>
      <c r="K56" s="34">
        <f t="shared" si="13"/>
        <v>57132</v>
      </c>
      <c r="L56" s="37"/>
    </row>
    <row r="57" spans="1:12">
      <c r="A57" s="29">
        <v>27</v>
      </c>
      <c r="B57" s="29">
        <f t="shared" si="11"/>
        <v>1.17</v>
      </c>
      <c r="C57" s="605">
        <v>109</v>
      </c>
      <c r="D57" s="34">
        <v>31407.339449541283</v>
      </c>
      <c r="E57" s="34">
        <f t="shared" si="13"/>
        <v>31600</v>
      </c>
      <c r="F57" s="34">
        <f t="shared" si="13"/>
        <v>41221.125</v>
      </c>
      <c r="G57" s="34">
        <f t="shared" si="13"/>
        <v>40972.5</v>
      </c>
      <c r="H57" s="34">
        <f t="shared" si="13"/>
        <v>42469.75</v>
      </c>
      <c r="I57" s="34">
        <f t="shared" si="13"/>
        <v>43215.625</v>
      </c>
      <c r="J57" s="34">
        <f t="shared" si="13"/>
        <v>45956</v>
      </c>
      <c r="K57" s="34">
        <f t="shared" si="13"/>
        <v>58395.5</v>
      </c>
      <c r="L57" s="37"/>
    </row>
    <row r="58" spans="1:12">
      <c r="A58" s="29">
        <v>28</v>
      </c>
      <c r="B58" s="29">
        <f t="shared" si="11"/>
        <v>1.18</v>
      </c>
      <c r="C58" s="605">
        <v>108</v>
      </c>
      <c r="D58" s="34">
        <v>35773.888888888891</v>
      </c>
      <c r="E58" s="34">
        <f t="shared" si="13"/>
        <v>31915</v>
      </c>
      <c r="F58" s="34">
        <f t="shared" si="13"/>
        <v>41575.5</v>
      </c>
      <c r="G58" s="34">
        <f t="shared" si="13"/>
        <v>41310</v>
      </c>
      <c r="H58" s="34">
        <f t="shared" si="13"/>
        <v>42841</v>
      </c>
      <c r="I58" s="34">
        <f t="shared" si="13"/>
        <v>43637.5</v>
      </c>
      <c r="J58" s="34">
        <f t="shared" si="13"/>
        <v>46496</v>
      </c>
      <c r="K58" s="34">
        <f t="shared" si="13"/>
        <v>59678</v>
      </c>
      <c r="L58" s="37"/>
    </row>
    <row r="59" spans="1:12">
      <c r="A59" s="29">
        <v>29</v>
      </c>
      <c r="B59" s="29">
        <f t="shared" si="11"/>
        <v>1.19</v>
      </c>
      <c r="C59" s="605">
        <v>85</v>
      </c>
      <c r="D59" s="34">
        <v>32288.411764705881</v>
      </c>
      <c r="E59" s="34">
        <f t="shared" si="13"/>
        <v>32305</v>
      </c>
      <c r="F59" s="34">
        <f t="shared" si="13"/>
        <v>41935.125</v>
      </c>
      <c r="G59" s="34">
        <f t="shared" si="13"/>
        <v>41652.5</v>
      </c>
      <c r="H59" s="34">
        <f t="shared" si="13"/>
        <v>43217.75</v>
      </c>
      <c r="I59" s="34">
        <f t="shared" si="13"/>
        <v>44065.625</v>
      </c>
      <c r="J59" s="34">
        <f t="shared" si="13"/>
        <v>47044</v>
      </c>
      <c r="K59" s="34">
        <f t="shared" si="13"/>
        <v>60979.5</v>
      </c>
      <c r="L59" s="37"/>
    </row>
    <row r="60" spans="1:12">
      <c r="A60" s="29">
        <v>30</v>
      </c>
      <c r="B60" s="29">
        <f t="shared" si="11"/>
        <v>1.2</v>
      </c>
      <c r="C60" s="605">
        <v>99</v>
      </c>
      <c r="D60" s="34">
        <v>35193.989898989901</v>
      </c>
      <c r="E60" s="34">
        <f t="shared" si="13"/>
        <v>32700</v>
      </c>
      <c r="F60" s="34">
        <f t="shared" si="13"/>
        <v>42300</v>
      </c>
      <c r="G60" s="34">
        <f t="shared" si="13"/>
        <v>42000</v>
      </c>
      <c r="H60" s="34">
        <f t="shared" si="13"/>
        <v>43600</v>
      </c>
      <c r="I60" s="34">
        <f t="shared" si="13"/>
        <v>44500</v>
      </c>
      <c r="J60" s="34">
        <f t="shared" si="13"/>
        <v>47600</v>
      </c>
      <c r="K60" s="34">
        <f t="shared" si="13"/>
        <v>62300</v>
      </c>
      <c r="L60" s="37"/>
    </row>
    <row r="61" spans="1:12">
      <c r="A61" s="29">
        <v>31</v>
      </c>
      <c r="B61" s="29">
        <f t="shared" si="11"/>
        <v>1.21</v>
      </c>
      <c r="C61" s="605">
        <v>93</v>
      </c>
      <c r="D61" s="34">
        <v>33915.430107526881</v>
      </c>
      <c r="E61" s="34">
        <f t="shared" ref="E61:K70" si="14">+IF(E$3+(E$5*10+($A61-10)*E$6)*$B61/2&lt;E$4,E$4,E$3+(E$5*10+($A61-10)*E$6)*$B61/2)</f>
        <v>33100</v>
      </c>
      <c r="F61" s="34">
        <f t="shared" si="14"/>
        <v>42670.125</v>
      </c>
      <c r="G61" s="34">
        <f t="shared" si="14"/>
        <v>42352.5</v>
      </c>
      <c r="H61" s="34">
        <f t="shared" si="14"/>
        <v>43987.75</v>
      </c>
      <c r="I61" s="34">
        <f t="shared" si="14"/>
        <v>44940.625</v>
      </c>
      <c r="J61" s="34">
        <f t="shared" si="14"/>
        <v>48164</v>
      </c>
      <c r="K61" s="34">
        <f t="shared" si="14"/>
        <v>63639.5</v>
      </c>
      <c r="L61" s="37"/>
    </row>
    <row r="62" spans="1:12">
      <c r="A62" s="29">
        <v>32</v>
      </c>
      <c r="B62" s="29">
        <f t="shared" si="11"/>
        <v>1.22</v>
      </c>
      <c r="C62" s="605">
        <v>82</v>
      </c>
      <c r="D62" s="34">
        <v>37602.560975609755</v>
      </c>
      <c r="E62" s="34">
        <f t="shared" si="14"/>
        <v>33505</v>
      </c>
      <c r="F62" s="34">
        <f t="shared" si="14"/>
        <v>43045.5</v>
      </c>
      <c r="G62" s="34">
        <f t="shared" si="14"/>
        <v>42710</v>
      </c>
      <c r="H62" s="34">
        <f t="shared" si="14"/>
        <v>44381</v>
      </c>
      <c r="I62" s="34">
        <f t="shared" si="14"/>
        <v>45387.5</v>
      </c>
      <c r="J62" s="34">
        <f t="shared" si="14"/>
        <v>48736</v>
      </c>
      <c r="K62" s="34">
        <f t="shared" si="14"/>
        <v>64998</v>
      </c>
      <c r="L62" s="37"/>
    </row>
    <row r="63" spans="1:12">
      <c r="A63" s="29">
        <v>33</v>
      </c>
      <c r="B63" s="29">
        <f t="shared" si="11"/>
        <v>1.23</v>
      </c>
      <c r="C63" s="605">
        <v>79</v>
      </c>
      <c r="D63" s="34">
        <v>33915</v>
      </c>
      <c r="E63" s="34">
        <f t="shared" si="14"/>
        <v>33915</v>
      </c>
      <c r="F63" s="34">
        <f t="shared" si="14"/>
        <v>43426.125</v>
      </c>
      <c r="G63" s="34">
        <f t="shared" si="14"/>
        <v>43072.5</v>
      </c>
      <c r="H63" s="34">
        <f t="shared" si="14"/>
        <v>44779.75</v>
      </c>
      <c r="I63" s="34">
        <f t="shared" si="14"/>
        <v>45840.625</v>
      </c>
      <c r="J63" s="34">
        <f t="shared" si="14"/>
        <v>49316</v>
      </c>
      <c r="K63" s="34">
        <f t="shared" si="14"/>
        <v>66375.5</v>
      </c>
      <c r="L63" s="37"/>
    </row>
    <row r="64" spans="1:12">
      <c r="A64" s="29">
        <v>34</v>
      </c>
      <c r="B64" s="29">
        <f t="shared" si="11"/>
        <v>1.24</v>
      </c>
      <c r="C64" s="605">
        <v>92</v>
      </c>
      <c r="D64" s="34">
        <v>34297.391304347824</v>
      </c>
      <c r="E64" s="34">
        <f t="shared" si="14"/>
        <v>34330</v>
      </c>
      <c r="F64" s="34">
        <f t="shared" si="14"/>
        <v>43812</v>
      </c>
      <c r="G64" s="34">
        <f t="shared" si="14"/>
        <v>43440</v>
      </c>
      <c r="H64" s="34">
        <f t="shared" si="14"/>
        <v>45184</v>
      </c>
      <c r="I64" s="34">
        <f t="shared" si="14"/>
        <v>46300</v>
      </c>
      <c r="J64" s="34">
        <f t="shared" si="14"/>
        <v>49904</v>
      </c>
      <c r="K64" s="34">
        <f t="shared" si="14"/>
        <v>67772</v>
      </c>
      <c r="L64" s="37"/>
    </row>
    <row r="65" spans="1:12">
      <c r="A65" s="29">
        <v>35</v>
      </c>
      <c r="B65" s="29">
        <f t="shared" si="11"/>
        <v>1.25</v>
      </c>
      <c r="C65" s="605">
        <v>92</v>
      </c>
      <c r="D65" s="34">
        <v>35661.086956521736</v>
      </c>
      <c r="E65" s="34">
        <f t="shared" si="14"/>
        <v>34750</v>
      </c>
      <c r="F65" s="34">
        <f t="shared" si="14"/>
        <v>44203.125</v>
      </c>
      <c r="G65" s="34">
        <f t="shared" si="14"/>
        <v>43812.5</v>
      </c>
      <c r="H65" s="34">
        <f t="shared" si="14"/>
        <v>45593.75</v>
      </c>
      <c r="I65" s="34">
        <f t="shared" si="14"/>
        <v>46765.625</v>
      </c>
      <c r="J65" s="34">
        <f t="shared" si="14"/>
        <v>50500</v>
      </c>
      <c r="K65" s="34">
        <f t="shared" si="14"/>
        <v>69187.5</v>
      </c>
      <c r="L65" s="37"/>
    </row>
    <row r="66" spans="1:12">
      <c r="A66" s="29">
        <v>36</v>
      </c>
      <c r="B66" s="29">
        <f t="shared" si="11"/>
        <v>1.26</v>
      </c>
      <c r="C66" s="605">
        <v>102</v>
      </c>
      <c r="D66" s="34">
        <v>35175</v>
      </c>
      <c r="E66" s="34">
        <f t="shared" si="14"/>
        <v>35175</v>
      </c>
      <c r="F66" s="34">
        <f t="shared" si="14"/>
        <v>44599.5</v>
      </c>
      <c r="G66" s="34">
        <f t="shared" si="14"/>
        <v>44190</v>
      </c>
      <c r="H66" s="34">
        <f t="shared" si="14"/>
        <v>46009</v>
      </c>
      <c r="I66" s="34">
        <f t="shared" si="14"/>
        <v>47237.5</v>
      </c>
      <c r="J66" s="34">
        <f t="shared" si="14"/>
        <v>51104</v>
      </c>
      <c r="K66" s="34">
        <f t="shared" si="14"/>
        <v>70622</v>
      </c>
      <c r="L66" s="37"/>
    </row>
    <row r="67" spans="1:12">
      <c r="A67" s="29">
        <v>37</v>
      </c>
      <c r="B67" s="29">
        <f t="shared" si="11"/>
        <v>1.27</v>
      </c>
      <c r="C67" s="605">
        <v>94</v>
      </c>
      <c r="D67" s="34">
        <v>36502.287234042553</v>
      </c>
      <c r="E67" s="34">
        <f t="shared" si="14"/>
        <v>35605</v>
      </c>
      <c r="F67" s="34">
        <f t="shared" si="14"/>
        <v>45001.125</v>
      </c>
      <c r="G67" s="34">
        <f t="shared" si="14"/>
        <v>44572.5</v>
      </c>
      <c r="H67" s="34">
        <f t="shared" si="14"/>
        <v>46429.75</v>
      </c>
      <c r="I67" s="34">
        <f t="shared" si="14"/>
        <v>47715.625</v>
      </c>
      <c r="J67" s="34">
        <f t="shared" si="14"/>
        <v>51716</v>
      </c>
      <c r="K67" s="34">
        <f t="shared" si="14"/>
        <v>72075.5</v>
      </c>
      <c r="L67" s="37"/>
    </row>
    <row r="68" spans="1:12">
      <c r="A68" s="29">
        <v>38</v>
      </c>
      <c r="B68" s="29">
        <f t="shared" si="11"/>
        <v>1.28</v>
      </c>
      <c r="C68" s="605">
        <v>84</v>
      </c>
      <c r="D68" s="34">
        <v>36040</v>
      </c>
      <c r="E68" s="34">
        <f t="shared" si="14"/>
        <v>36040</v>
      </c>
      <c r="F68" s="34">
        <f t="shared" si="14"/>
        <v>45408</v>
      </c>
      <c r="G68" s="34">
        <f t="shared" si="14"/>
        <v>44960</v>
      </c>
      <c r="H68" s="34">
        <f t="shared" si="14"/>
        <v>46856</v>
      </c>
      <c r="I68" s="34">
        <f t="shared" si="14"/>
        <v>48200</v>
      </c>
      <c r="J68" s="34">
        <f t="shared" si="14"/>
        <v>52336</v>
      </c>
      <c r="K68" s="34">
        <f t="shared" si="14"/>
        <v>73548</v>
      </c>
      <c r="L68" s="37"/>
    </row>
    <row r="69" spans="1:12">
      <c r="A69" s="29">
        <v>39</v>
      </c>
      <c r="B69" s="29">
        <f t="shared" si="11"/>
        <v>1.29</v>
      </c>
      <c r="C69" s="605">
        <v>102</v>
      </c>
      <c r="D69" s="34">
        <v>39786.617647058825</v>
      </c>
      <c r="E69" s="34">
        <f t="shared" si="14"/>
        <v>36480</v>
      </c>
      <c r="F69" s="34">
        <f t="shared" si="14"/>
        <v>45820.125</v>
      </c>
      <c r="G69" s="34">
        <f t="shared" si="14"/>
        <v>45352.5</v>
      </c>
      <c r="H69" s="34">
        <f t="shared" si="14"/>
        <v>47287.75</v>
      </c>
      <c r="I69" s="34">
        <f t="shared" si="14"/>
        <v>48690.625</v>
      </c>
      <c r="J69" s="34">
        <f t="shared" si="14"/>
        <v>52964</v>
      </c>
      <c r="K69" s="34">
        <f t="shared" si="14"/>
        <v>75039.5</v>
      </c>
      <c r="L69" s="37"/>
    </row>
    <row r="70" spans="1:12">
      <c r="A70" s="29">
        <v>40</v>
      </c>
      <c r="B70" s="29">
        <f t="shared" si="11"/>
        <v>1.3</v>
      </c>
      <c r="C70" s="605">
        <v>119</v>
      </c>
      <c r="D70" s="34">
        <v>37632.60504201681</v>
      </c>
      <c r="E70" s="34">
        <f t="shared" si="14"/>
        <v>36925</v>
      </c>
      <c r="F70" s="34">
        <f t="shared" si="14"/>
        <v>46237.5</v>
      </c>
      <c r="G70" s="34">
        <f t="shared" si="14"/>
        <v>45750</v>
      </c>
      <c r="H70" s="34">
        <f t="shared" si="14"/>
        <v>47725</v>
      </c>
      <c r="I70" s="34">
        <f t="shared" si="14"/>
        <v>49187.5</v>
      </c>
      <c r="J70" s="34">
        <f t="shared" si="14"/>
        <v>53600</v>
      </c>
      <c r="K70" s="34">
        <f t="shared" si="14"/>
        <v>76550</v>
      </c>
      <c r="L70" s="37"/>
    </row>
    <row r="71" spans="1:12">
      <c r="A71" s="29">
        <v>41</v>
      </c>
      <c r="B71" s="29">
        <f t="shared" ref="B71:B104" si="15">+$B$70+(A71-40)*0.02</f>
        <v>1.32</v>
      </c>
      <c r="C71" s="605">
        <v>90</v>
      </c>
      <c r="D71" s="34">
        <v>37500</v>
      </c>
      <c r="E71" s="34">
        <f t="shared" ref="E71:K80" si="16">+IF(E$3+(E$5*10+($A71-10)*E$6)*$B71/2&lt;E$4,E$4,E$3+(E$5*10+($A71-10)*E$6)*$B71/2)</f>
        <v>37500</v>
      </c>
      <c r="F71" s="34">
        <f t="shared" si="16"/>
        <v>46741.5</v>
      </c>
      <c r="G71" s="34">
        <f t="shared" si="16"/>
        <v>46230</v>
      </c>
      <c r="H71" s="34">
        <f t="shared" si="16"/>
        <v>48253</v>
      </c>
      <c r="I71" s="34">
        <f t="shared" si="16"/>
        <v>49787.5</v>
      </c>
      <c r="J71" s="34">
        <f t="shared" si="16"/>
        <v>54368</v>
      </c>
      <c r="K71" s="34">
        <f t="shared" si="16"/>
        <v>78374</v>
      </c>
      <c r="L71" s="37"/>
    </row>
    <row r="72" spans="1:12">
      <c r="A72" s="29">
        <v>42</v>
      </c>
      <c r="B72" s="29">
        <f t="shared" si="15"/>
        <v>1.34</v>
      </c>
      <c r="C72" s="605">
        <v>105</v>
      </c>
      <c r="D72" s="34">
        <v>38085</v>
      </c>
      <c r="E72" s="34">
        <f t="shared" si="16"/>
        <v>38085</v>
      </c>
      <c r="F72" s="34">
        <f t="shared" si="16"/>
        <v>47256</v>
      </c>
      <c r="G72" s="34">
        <f t="shared" si="16"/>
        <v>46720</v>
      </c>
      <c r="H72" s="34">
        <f t="shared" si="16"/>
        <v>48792</v>
      </c>
      <c r="I72" s="34">
        <f t="shared" si="16"/>
        <v>50400</v>
      </c>
      <c r="J72" s="34">
        <f t="shared" si="16"/>
        <v>55152</v>
      </c>
      <c r="K72" s="34">
        <f t="shared" si="16"/>
        <v>80236</v>
      </c>
      <c r="L72" s="37"/>
    </row>
    <row r="73" spans="1:12">
      <c r="A73" s="29">
        <v>43</v>
      </c>
      <c r="B73" s="29">
        <f t="shared" si="15"/>
        <v>1.36</v>
      </c>
      <c r="C73" s="605">
        <v>87</v>
      </c>
      <c r="D73" s="34">
        <v>40590</v>
      </c>
      <c r="E73" s="34">
        <f t="shared" si="16"/>
        <v>38680</v>
      </c>
      <c r="F73" s="34">
        <f t="shared" si="16"/>
        <v>47781</v>
      </c>
      <c r="G73" s="34">
        <f t="shared" si="16"/>
        <v>47220</v>
      </c>
      <c r="H73" s="34">
        <f t="shared" si="16"/>
        <v>49342</v>
      </c>
      <c r="I73" s="34">
        <f t="shared" si="16"/>
        <v>51025</v>
      </c>
      <c r="J73" s="34">
        <f t="shared" si="16"/>
        <v>55952</v>
      </c>
      <c r="K73" s="34">
        <f t="shared" si="16"/>
        <v>82136</v>
      </c>
      <c r="L73" s="37"/>
    </row>
    <row r="74" spans="1:12">
      <c r="A74" s="29">
        <v>44</v>
      </c>
      <c r="B74" s="29">
        <f t="shared" si="15"/>
        <v>1.3800000000000001</v>
      </c>
      <c r="C74" s="605">
        <v>96</v>
      </c>
      <c r="D74" s="34">
        <v>39285</v>
      </c>
      <c r="E74" s="34">
        <f t="shared" si="16"/>
        <v>39285</v>
      </c>
      <c r="F74" s="34">
        <f t="shared" si="16"/>
        <v>48316.5</v>
      </c>
      <c r="G74" s="34">
        <f t="shared" si="16"/>
        <v>47730</v>
      </c>
      <c r="H74" s="34">
        <f t="shared" si="16"/>
        <v>49903</v>
      </c>
      <c r="I74" s="34">
        <f t="shared" si="16"/>
        <v>51662.5</v>
      </c>
      <c r="J74" s="34">
        <f t="shared" si="16"/>
        <v>56768</v>
      </c>
      <c r="K74" s="34">
        <f t="shared" si="16"/>
        <v>84074</v>
      </c>
      <c r="L74" s="37"/>
    </row>
    <row r="75" spans="1:12">
      <c r="A75" s="29">
        <v>45</v>
      </c>
      <c r="B75" s="29">
        <f t="shared" si="15"/>
        <v>1.4000000000000001</v>
      </c>
      <c r="C75" s="605">
        <v>105</v>
      </c>
      <c r="D75" s="34">
        <v>41481.904761904763</v>
      </c>
      <c r="E75" s="34">
        <f t="shared" si="16"/>
        <v>39900</v>
      </c>
      <c r="F75" s="34">
        <f t="shared" si="16"/>
        <v>48862.5</v>
      </c>
      <c r="G75" s="34">
        <f t="shared" si="16"/>
        <v>48250</v>
      </c>
      <c r="H75" s="34">
        <f t="shared" si="16"/>
        <v>50475</v>
      </c>
      <c r="I75" s="34">
        <f t="shared" si="16"/>
        <v>52312.5</v>
      </c>
      <c r="J75" s="34">
        <f t="shared" si="16"/>
        <v>57600</v>
      </c>
      <c r="K75" s="34">
        <f t="shared" si="16"/>
        <v>86050</v>
      </c>
      <c r="L75" s="37"/>
    </row>
    <row r="76" spans="1:12">
      <c r="A76" s="29">
        <v>46</v>
      </c>
      <c r="B76" s="29">
        <f t="shared" si="15"/>
        <v>1.42</v>
      </c>
      <c r="C76" s="605">
        <v>91</v>
      </c>
      <c r="D76" s="34">
        <v>40525</v>
      </c>
      <c r="E76" s="34">
        <f t="shared" si="16"/>
        <v>40525</v>
      </c>
      <c r="F76" s="34">
        <f t="shared" si="16"/>
        <v>49419</v>
      </c>
      <c r="G76" s="34">
        <f t="shared" si="16"/>
        <v>48780</v>
      </c>
      <c r="H76" s="34">
        <f t="shared" si="16"/>
        <v>51058</v>
      </c>
      <c r="I76" s="34">
        <f t="shared" si="16"/>
        <v>52975</v>
      </c>
      <c r="J76" s="34">
        <f t="shared" si="16"/>
        <v>58448</v>
      </c>
      <c r="K76" s="34">
        <f t="shared" si="16"/>
        <v>88064</v>
      </c>
      <c r="L76" s="37"/>
    </row>
    <row r="77" spans="1:12">
      <c r="A77" s="29">
        <v>47</v>
      </c>
      <c r="B77" s="29">
        <f t="shared" si="15"/>
        <v>1.44</v>
      </c>
      <c r="C77" s="605">
        <v>75</v>
      </c>
      <c r="D77" s="34">
        <v>43353.96</v>
      </c>
      <c r="E77" s="34">
        <f t="shared" si="16"/>
        <v>41160</v>
      </c>
      <c r="F77" s="34">
        <f t="shared" si="16"/>
        <v>49986</v>
      </c>
      <c r="G77" s="34">
        <f t="shared" si="16"/>
        <v>49320</v>
      </c>
      <c r="H77" s="34">
        <f t="shared" si="16"/>
        <v>51652</v>
      </c>
      <c r="I77" s="34">
        <f t="shared" si="16"/>
        <v>53650</v>
      </c>
      <c r="J77" s="34">
        <f t="shared" si="16"/>
        <v>59312</v>
      </c>
      <c r="K77" s="34">
        <f t="shared" si="16"/>
        <v>90116</v>
      </c>
      <c r="L77" s="37"/>
    </row>
    <row r="78" spans="1:12">
      <c r="A78" s="29">
        <v>48</v>
      </c>
      <c r="B78" s="29">
        <f t="shared" si="15"/>
        <v>1.46</v>
      </c>
      <c r="C78" s="605">
        <v>73</v>
      </c>
      <c r="D78" s="34">
        <v>42929.452054794521</v>
      </c>
      <c r="E78" s="34">
        <f t="shared" si="16"/>
        <v>41805</v>
      </c>
      <c r="F78" s="34">
        <f t="shared" si="16"/>
        <v>50563.5</v>
      </c>
      <c r="G78" s="34">
        <f t="shared" si="16"/>
        <v>49870</v>
      </c>
      <c r="H78" s="34">
        <f t="shared" si="16"/>
        <v>52257</v>
      </c>
      <c r="I78" s="34">
        <f t="shared" si="16"/>
        <v>54337.5</v>
      </c>
      <c r="J78" s="34">
        <f t="shared" si="16"/>
        <v>60192</v>
      </c>
      <c r="K78" s="34">
        <f t="shared" si="16"/>
        <v>92206</v>
      </c>
      <c r="L78" s="37"/>
    </row>
    <row r="79" spans="1:12">
      <c r="A79" s="29">
        <v>49</v>
      </c>
      <c r="B79" s="29">
        <f t="shared" si="15"/>
        <v>1.48</v>
      </c>
      <c r="C79" s="605">
        <v>70</v>
      </c>
      <c r="D79" s="34">
        <v>44800</v>
      </c>
      <c r="E79" s="34">
        <f t="shared" si="16"/>
        <v>42460</v>
      </c>
      <c r="F79" s="34">
        <f t="shared" si="16"/>
        <v>51151.5</v>
      </c>
      <c r="G79" s="34">
        <f t="shared" si="16"/>
        <v>50430</v>
      </c>
      <c r="H79" s="34">
        <f t="shared" si="16"/>
        <v>52873</v>
      </c>
      <c r="I79" s="34">
        <f t="shared" si="16"/>
        <v>55037.5</v>
      </c>
      <c r="J79" s="34">
        <f t="shared" si="16"/>
        <v>61088</v>
      </c>
      <c r="K79" s="34">
        <f t="shared" si="16"/>
        <v>94334</v>
      </c>
      <c r="L79" s="37"/>
    </row>
    <row r="80" spans="1:12">
      <c r="A80" s="29">
        <v>50</v>
      </c>
      <c r="B80" s="29">
        <f t="shared" si="15"/>
        <v>1.5</v>
      </c>
      <c r="C80" s="605">
        <v>72</v>
      </c>
      <c r="D80" s="34">
        <v>44263.361111111109</v>
      </c>
      <c r="E80" s="34">
        <f t="shared" si="16"/>
        <v>43125</v>
      </c>
      <c r="F80" s="34">
        <f t="shared" si="16"/>
        <v>51750</v>
      </c>
      <c r="G80" s="34">
        <f t="shared" si="16"/>
        <v>51000</v>
      </c>
      <c r="H80" s="34">
        <f t="shared" si="16"/>
        <v>53500</v>
      </c>
      <c r="I80" s="34">
        <f t="shared" si="16"/>
        <v>55750</v>
      </c>
      <c r="J80" s="34">
        <f t="shared" si="16"/>
        <v>62000</v>
      </c>
      <c r="K80" s="34">
        <f t="shared" si="16"/>
        <v>96500</v>
      </c>
      <c r="L80" s="37"/>
    </row>
    <row r="81" spans="1:12">
      <c r="A81" s="29">
        <v>51</v>
      </c>
      <c r="B81" s="29">
        <f t="shared" si="15"/>
        <v>1.52</v>
      </c>
      <c r="C81" s="605">
        <v>62</v>
      </c>
      <c r="D81" s="34">
        <v>45108.467741935485</v>
      </c>
      <c r="E81" s="34">
        <f t="shared" ref="E81:K90" si="17">+IF(E$3+(E$5*10+($A81-10)*E$6)*$B81/2&lt;E$4,E$4,E$3+(E$5*10+($A81-10)*E$6)*$B81/2)</f>
        <v>43800</v>
      </c>
      <c r="F81" s="34">
        <f t="shared" si="17"/>
        <v>52359</v>
      </c>
      <c r="G81" s="34">
        <f t="shared" si="17"/>
        <v>51580</v>
      </c>
      <c r="H81" s="34">
        <f t="shared" si="17"/>
        <v>54138</v>
      </c>
      <c r="I81" s="34">
        <f t="shared" si="17"/>
        <v>56475</v>
      </c>
      <c r="J81" s="34">
        <f t="shared" si="17"/>
        <v>62928</v>
      </c>
      <c r="K81" s="34">
        <f t="shared" si="17"/>
        <v>98704</v>
      </c>
      <c r="L81" s="37"/>
    </row>
    <row r="82" spans="1:12">
      <c r="A82" s="29">
        <v>52</v>
      </c>
      <c r="B82" s="29">
        <f t="shared" si="15"/>
        <v>1.54</v>
      </c>
      <c r="C82" s="605">
        <v>67</v>
      </c>
      <c r="D82" s="34">
        <v>45701.940298507463</v>
      </c>
      <c r="E82" s="34">
        <f t="shared" si="17"/>
        <v>44485</v>
      </c>
      <c r="F82" s="34">
        <f t="shared" si="17"/>
        <v>52978.5</v>
      </c>
      <c r="G82" s="34">
        <f t="shared" si="17"/>
        <v>52170</v>
      </c>
      <c r="H82" s="34">
        <f t="shared" si="17"/>
        <v>54787</v>
      </c>
      <c r="I82" s="34">
        <f t="shared" si="17"/>
        <v>57212.5</v>
      </c>
      <c r="J82" s="34">
        <f t="shared" si="17"/>
        <v>63872</v>
      </c>
      <c r="K82" s="34">
        <f t="shared" si="17"/>
        <v>100946</v>
      </c>
      <c r="L82" s="37"/>
    </row>
    <row r="83" spans="1:12">
      <c r="A83" s="29">
        <v>53</v>
      </c>
      <c r="B83" s="29">
        <f t="shared" si="15"/>
        <v>1.56</v>
      </c>
      <c r="C83" s="605">
        <v>46</v>
      </c>
      <c r="D83" s="34">
        <v>45180</v>
      </c>
      <c r="E83" s="34">
        <f t="shared" si="17"/>
        <v>45180</v>
      </c>
      <c r="F83" s="34">
        <f t="shared" si="17"/>
        <v>53608.5</v>
      </c>
      <c r="G83" s="34">
        <f t="shared" si="17"/>
        <v>52770</v>
      </c>
      <c r="H83" s="34">
        <f t="shared" si="17"/>
        <v>55447</v>
      </c>
      <c r="I83" s="34">
        <f t="shared" si="17"/>
        <v>57962.5</v>
      </c>
      <c r="J83" s="34">
        <f t="shared" si="17"/>
        <v>64832</v>
      </c>
      <c r="K83" s="34">
        <f t="shared" si="17"/>
        <v>103226</v>
      </c>
      <c r="L83" s="37"/>
    </row>
    <row r="84" spans="1:12">
      <c r="A84" s="29">
        <v>54</v>
      </c>
      <c r="B84" s="29">
        <f t="shared" si="15"/>
        <v>1.58</v>
      </c>
      <c r="C84" s="605">
        <v>38</v>
      </c>
      <c r="D84" s="34">
        <v>45885</v>
      </c>
      <c r="E84" s="34">
        <f t="shared" si="17"/>
        <v>45885</v>
      </c>
      <c r="F84" s="34">
        <f t="shared" si="17"/>
        <v>54249</v>
      </c>
      <c r="G84" s="34">
        <f t="shared" si="17"/>
        <v>53380</v>
      </c>
      <c r="H84" s="34">
        <f t="shared" si="17"/>
        <v>56118</v>
      </c>
      <c r="I84" s="34">
        <f t="shared" si="17"/>
        <v>58725</v>
      </c>
      <c r="J84" s="34">
        <f t="shared" si="17"/>
        <v>65808</v>
      </c>
      <c r="K84" s="34">
        <f t="shared" si="17"/>
        <v>105544</v>
      </c>
      <c r="L84" s="37"/>
    </row>
    <row r="85" spans="1:12">
      <c r="A85" s="29">
        <v>55</v>
      </c>
      <c r="B85" s="29">
        <f t="shared" si="15"/>
        <v>1.6</v>
      </c>
      <c r="C85" s="605">
        <v>39</v>
      </c>
      <c r="D85" s="34">
        <v>46600</v>
      </c>
      <c r="E85" s="34">
        <f t="shared" si="17"/>
        <v>46600</v>
      </c>
      <c r="F85" s="34">
        <f t="shared" si="17"/>
        <v>54900</v>
      </c>
      <c r="G85" s="34">
        <f t="shared" si="17"/>
        <v>54000</v>
      </c>
      <c r="H85" s="34">
        <f t="shared" si="17"/>
        <v>56800</v>
      </c>
      <c r="I85" s="34">
        <f t="shared" si="17"/>
        <v>59500</v>
      </c>
      <c r="J85" s="34">
        <f t="shared" si="17"/>
        <v>66800</v>
      </c>
      <c r="K85" s="34">
        <f t="shared" si="17"/>
        <v>107900</v>
      </c>
      <c r="L85" s="37"/>
    </row>
    <row r="86" spans="1:12">
      <c r="A86" s="29">
        <v>56</v>
      </c>
      <c r="B86" s="29">
        <f t="shared" si="15"/>
        <v>1.62</v>
      </c>
      <c r="C86" s="605">
        <v>31</v>
      </c>
      <c r="D86" s="34">
        <v>52470</v>
      </c>
      <c r="E86" s="34">
        <f t="shared" si="17"/>
        <v>47325</v>
      </c>
      <c r="F86" s="34">
        <f t="shared" si="17"/>
        <v>55561.5</v>
      </c>
      <c r="G86" s="34">
        <f t="shared" si="17"/>
        <v>54630</v>
      </c>
      <c r="H86" s="34">
        <f t="shared" si="17"/>
        <v>57493</v>
      </c>
      <c r="I86" s="34">
        <f t="shared" si="17"/>
        <v>60287.5</v>
      </c>
      <c r="J86" s="34">
        <f t="shared" si="17"/>
        <v>67808</v>
      </c>
      <c r="K86" s="34">
        <f t="shared" si="17"/>
        <v>110294</v>
      </c>
      <c r="L86" s="37"/>
    </row>
    <row r="87" spans="1:12">
      <c r="A87" s="29">
        <v>57</v>
      </c>
      <c r="B87" s="29">
        <f t="shared" si="15"/>
        <v>1.6400000000000001</v>
      </c>
      <c r="C87" s="605">
        <v>36</v>
      </c>
      <c r="D87" s="34">
        <v>50333.611111111109</v>
      </c>
      <c r="E87" s="34">
        <f t="shared" si="17"/>
        <v>48060</v>
      </c>
      <c r="F87" s="34">
        <f t="shared" si="17"/>
        <v>56233.5</v>
      </c>
      <c r="G87" s="34">
        <f t="shared" si="17"/>
        <v>55270</v>
      </c>
      <c r="H87" s="34">
        <f t="shared" si="17"/>
        <v>58197</v>
      </c>
      <c r="I87" s="34">
        <f t="shared" si="17"/>
        <v>61087.5</v>
      </c>
      <c r="J87" s="34">
        <f t="shared" si="17"/>
        <v>68832</v>
      </c>
      <c r="K87" s="34">
        <f t="shared" si="17"/>
        <v>112726</v>
      </c>
      <c r="L87" s="37"/>
    </row>
    <row r="88" spans="1:12">
      <c r="A88" s="29">
        <v>58</v>
      </c>
      <c r="B88" s="29">
        <f t="shared" si="15"/>
        <v>1.6600000000000001</v>
      </c>
      <c r="C88" s="605">
        <v>26</v>
      </c>
      <c r="D88" s="34">
        <v>48805</v>
      </c>
      <c r="E88" s="34">
        <f t="shared" si="17"/>
        <v>48805</v>
      </c>
      <c r="F88" s="34">
        <f t="shared" si="17"/>
        <v>56916</v>
      </c>
      <c r="G88" s="34">
        <f t="shared" si="17"/>
        <v>55920</v>
      </c>
      <c r="H88" s="34">
        <f t="shared" si="17"/>
        <v>58912</v>
      </c>
      <c r="I88" s="34">
        <f t="shared" si="17"/>
        <v>61900</v>
      </c>
      <c r="J88" s="34">
        <f t="shared" si="17"/>
        <v>69872</v>
      </c>
      <c r="K88" s="34">
        <f t="shared" si="17"/>
        <v>115196</v>
      </c>
      <c r="L88" s="37"/>
    </row>
    <row r="89" spans="1:12">
      <c r="A89" s="29">
        <v>59</v>
      </c>
      <c r="B89" s="29">
        <f t="shared" si="15"/>
        <v>1.6800000000000002</v>
      </c>
      <c r="C89" s="605">
        <v>28</v>
      </c>
      <c r="D89" s="34">
        <v>49560</v>
      </c>
      <c r="E89" s="34">
        <f t="shared" si="17"/>
        <v>49560</v>
      </c>
      <c r="F89" s="34">
        <f t="shared" si="17"/>
        <v>57609</v>
      </c>
      <c r="G89" s="34">
        <f t="shared" si="17"/>
        <v>56580</v>
      </c>
      <c r="H89" s="34">
        <f t="shared" si="17"/>
        <v>59638</v>
      </c>
      <c r="I89" s="34">
        <f t="shared" si="17"/>
        <v>62725</v>
      </c>
      <c r="J89" s="34">
        <f t="shared" si="17"/>
        <v>70928</v>
      </c>
      <c r="K89" s="34">
        <f t="shared" si="17"/>
        <v>117704.00000000001</v>
      </c>
      <c r="L89" s="37"/>
    </row>
    <row r="90" spans="1:12">
      <c r="A90" s="29">
        <v>60</v>
      </c>
      <c r="B90" s="29">
        <f t="shared" si="15"/>
        <v>1.7000000000000002</v>
      </c>
      <c r="C90" s="605">
        <v>23</v>
      </c>
      <c r="D90" s="34">
        <v>49558.695652173912</v>
      </c>
      <c r="E90" s="34">
        <f t="shared" si="17"/>
        <v>50325</v>
      </c>
      <c r="F90" s="34">
        <f t="shared" si="17"/>
        <v>58312.5</v>
      </c>
      <c r="G90" s="34">
        <f t="shared" si="17"/>
        <v>57250</v>
      </c>
      <c r="H90" s="34">
        <f t="shared" si="17"/>
        <v>60375</v>
      </c>
      <c r="I90" s="34">
        <f t="shared" si="17"/>
        <v>63562.5</v>
      </c>
      <c r="J90" s="34">
        <f t="shared" si="17"/>
        <v>72000</v>
      </c>
      <c r="K90" s="34">
        <f t="shared" si="17"/>
        <v>120250.00000000001</v>
      </c>
      <c r="L90" s="37"/>
    </row>
    <row r="91" spans="1:12">
      <c r="A91" s="29">
        <v>61</v>
      </c>
      <c r="B91" s="29">
        <f t="shared" si="15"/>
        <v>1.72</v>
      </c>
      <c r="C91" s="605">
        <v>21</v>
      </c>
      <c r="D91" s="34">
        <v>51100</v>
      </c>
      <c r="E91" s="34">
        <f t="shared" ref="E91:K100" si="18">+IF(E$3+(E$5*10+($A91-10)*E$6)*$B91/2&lt;E$4,E$4,E$3+(E$5*10+($A91-10)*E$6)*$B91/2)</f>
        <v>51100</v>
      </c>
      <c r="F91" s="34">
        <f t="shared" si="18"/>
        <v>59026.5</v>
      </c>
      <c r="G91" s="34">
        <f t="shared" si="18"/>
        <v>57930</v>
      </c>
      <c r="H91" s="34">
        <f t="shared" si="18"/>
        <v>61123</v>
      </c>
      <c r="I91" s="34">
        <f t="shared" si="18"/>
        <v>64412.5</v>
      </c>
      <c r="J91" s="34">
        <f t="shared" si="18"/>
        <v>73088</v>
      </c>
      <c r="K91" s="34">
        <f t="shared" si="18"/>
        <v>122834</v>
      </c>
      <c r="L91" s="37"/>
    </row>
    <row r="92" spans="1:12">
      <c r="A92" s="29">
        <v>62</v>
      </c>
      <c r="B92" s="29">
        <f t="shared" si="15"/>
        <v>1.74</v>
      </c>
      <c r="C92" s="605">
        <v>12</v>
      </c>
      <c r="D92" s="34">
        <v>58327.916666666664</v>
      </c>
      <c r="E92" s="34">
        <f t="shared" si="18"/>
        <v>51885</v>
      </c>
      <c r="F92" s="34">
        <f t="shared" si="18"/>
        <v>59751</v>
      </c>
      <c r="G92" s="34">
        <f t="shared" si="18"/>
        <v>58620</v>
      </c>
      <c r="H92" s="34">
        <f t="shared" si="18"/>
        <v>61882</v>
      </c>
      <c r="I92" s="34">
        <f t="shared" si="18"/>
        <v>65275</v>
      </c>
      <c r="J92" s="34">
        <f t="shared" si="18"/>
        <v>74192</v>
      </c>
      <c r="K92" s="34">
        <f t="shared" si="18"/>
        <v>125456</v>
      </c>
      <c r="L92" s="37"/>
    </row>
    <row r="93" spans="1:12">
      <c r="A93" s="29">
        <v>63</v>
      </c>
      <c r="B93" s="29">
        <f t="shared" si="15"/>
        <v>1.76</v>
      </c>
      <c r="C93" s="605">
        <v>11</v>
      </c>
      <c r="D93" s="34">
        <v>52680</v>
      </c>
      <c r="E93" s="34">
        <f t="shared" si="18"/>
        <v>52680</v>
      </c>
      <c r="F93" s="34">
        <f t="shared" si="18"/>
        <v>60486</v>
      </c>
      <c r="G93" s="34">
        <f t="shared" si="18"/>
        <v>59320</v>
      </c>
      <c r="H93" s="34">
        <f t="shared" si="18"/>
        <v>62652</v>
      </c>
      <c r="I93" s="34">
        <f t="shared" si="18"/>
        <v>66150</v>
      </c>
      <c r="J93" s="34">
        <f t="shared" si="18"/>
        <v>75312</v>
      </c>
      <c r="K93" s="34">
        <f t="shared" si="18"/>
        <v>128116</v>
      </c>
      <c r="L93" s="37"/>
    </row>
    <row r="94" spans="1:12">
      <c r="A94" s="29">
        <v>64</v>
      </c>
      <c r="B94" s="29">
        <f t="shared" si="15"/>
        <v>1.78</v>
      </c>
      <c r="C94" s="605">
        <v>16</v>
      </c>
      <c r="D94" s="34">
        <v>53485</v>
      </c>
      <c r="E94" s="34">
        <f t="shared" si="18"/>
        <v>53485</v>
      </c>
      <c r="F94" s="34">
        <f t="shared" si="18"/>
        <v>61231.5</v>
      </c>
      <c r="G94" s="34">
        <f t="shared" si="18"/>
        <v>60030</v>
      </c>
      <c r="H94" s="34">
        <f t="shared" si="18"/>
        <v>63433</v>
      </c>
      <c r="I94" s="34">
        <f t="shared" si="18"/>
        <v>67037.5</v>
      </c>
      <c r="J94" s="34">
        <f t="shared" si="18"/>
        <v>76448</v>
      </c>
      <c r="K94" s="34">
        <f t="shared" si="18"/>
        <v>130814</v>
      </c>
      <c r="L94" s="37"/>
    </row>
    <row r="95" spans="1:12">
      <c r="A95" s="29">
        <v>65</v>
      </c>
      <c r="B95" s="29">
        <f t="shared" si="15"/>
        <v>1.8</v>
      </c>
      <c r="C95" s="605">
        <v>11</v>
      </c>
      <c r="D95" s="34">
        <v>54300</v>
      </c>
      <c r="E95" s="34">
        <f t="shared" si="18"/>
        <v>54300</v>
      </c>
      <c r="F95" s="34">
        <f t="shared" si="18"/>
        <v>61987.5</v>
      </c>
      <c r="G95" s="34">
        <f t="shared" si="18"/>
        <v>60750</v>
      </c>
      <c r="H95" s="34">
        <f t="shared" si="18"/>
        <v>64225</v>
      </c>
      <c r="I95" s="34">
        <f t="shared" si="18"/>
        <v>67937.5</v>
      </c>
      <c r="J95" s="34">
        <f t="shared" si="18"/>
        <v>77600</v>
      </c>
      <c r="K95" s="34">
        <f t="shared" si="18"/>
        <v>133550</v>
      </c>
      <c r="L95" s="37"/>
    </row>
    <row r="96" spans="1:12">
      <c r="A96" s="29">
        <v>66</v>
      </c>
      <c r="B96" s="29">
        <f t="shared" si="15"/>
        <v>1.82</v>
      </c>
      <c r="C96" s="605">
        <v>5</v>
      </c>
      <c r="D96" s="34">
        <v>50883</v>
      </c>
      <c r="E96" s="34">
        <f t="shared" si="18"/>
        <v>55125</v>
      </c>
      <c r="F96" s="34">
        <f t="shared" si="18"/>
        <v>62754</v>
      </c>
      <c r="G96" s="34">
        <f t="shared" si="18"/>
        <v>61480</v>
      </c>
      <c r="H96" s="34">
        <f t="shared" si="18"/>
        <v>65028</v>
      </c>
      <c r="I96" s="34">
        <f t="shared" si="18"/>
        <v>68850</v>
      </c>
      <c r="J96" s="34">
        <f t="shared" si="18"/>
        <v>78768</v>
      </c>
      <c r="K96" s="34">
        <f t="shared" si="18"/>
        <v>136324</v>
      </c>
      <c r="L96" s="37"/>
    </row>
    <row r="97" spans="1:12">
      <c r="A97" s="29">
        <v>67</v>
      </c>
      <c r="B97" s="29">
        <f t="shared" si="15"/>
        <v>1.84</v>
      </c>
      <c r="C97" s="605">
        <v>8</v>
      </c>
      <c r="D97" s="34">
        <v>55960</v>
      </c>
      <c r="E97" s="34">
        <f t="shared" si="18"/>
        <v>55960</v>
      </c>
      <c r="F97" s="34">
        <f t="shared" si="18"/>
        <v>63531</v>
      </c>
      <c r="G97" s="34">
        <f t="shared" si="18"/>
        <v>62220</v>
      </c>
      <c r="H97" s="34">
        <f t="shared" si="18"/>
        <v>65842</v>
      </c>
      <c r="I97" s="34">
        <f t="shared" si="18"/>
        <v>69775</v>
      </c>
      <c r="J97" s="34">
        <f t="shared" si="18"/>
        <v>79952</v>
      </c>
      <c r="K97" s="34">
        <f t="shared" si="18"/>
        <v>139136</v>
      </c>
      <c r="L97" s="37"/>
    </row>
    <row r="98" spans="1:12">
      <c r="A98" s="29">
        <v>68</v>
      </c>
      <c r="B98" s="29">
        <f t="shared" si="15"/>
        <v>1.86</v>
      </c>
      <c r="C98" s="605">
        <v>2</v>
      </c>
      <c r="D98" s="34">
        <v>56805</v>
      </c>
      <c r="E98" s="34">
        <f t="shared" si="18"/>
        <v>56805</v>
      </c>
      <c r="F98" s="34">
        <f t="shared" si="18"/>
        <v>64318.5</v>
      </c>
      <c r="G98" s="34">
        <f t="shared" si="18"/>
        <v>62970</v>
      </c>
      <c r="H98" s="34">
        <f t="shared" si="18"/>
        <v>66667</v>
      </c>
      <c r="I98" s="34">
        <f t="shared" si="18"/>
        <v>70712.5</v>
      </c>
      <c r="J98" s="34">
        <f t="shared" si="18"/>
        <v>81152</v>
      </c>
      <c r="K98" s="34">
        <f t="shared" si="18"/>
        <v>141986</v>
      </c>
      <c r="L98" s="37"/>
    </row>
    <row r="99" spans="1:12">
      <c r="A99" s="29">
        <v>69</v>
      </c>
      <c r="B99" s="29">
        <f t="shared" si="15"/>
        <v>1.88</v>
      </c>
      <c r="C99" s="605">
        <v>4</v>
      </c>
      <c r="D99" s="34">
        <v>57660</v>
      </c>
      <c r="E99" s="34">
        <f t="shared" si="18"/>
        <v>57660</v>
      </c>
      <c r="F99" s="34">
        <f t="shared" si="18"/>
        <v>65116.5</v>
      </c>
      <c r="G99" s="34">
        <f t="shared" si="18"/>
        <v>63730</v>
      </c>
      <c r="H99" s="34">
        <f t="shared" si="18"/>
        <v>67503</v>
      </c>
      <c r="I99" s="34">
        <f t="shared" si="18"/>
        <v>71662.5</v>
      </c>
      <c r="J99" s="34">
        <f t="shared" si="18"/>
        <v>82368</v>
      </c>
      <c r="K99" s="34">
        <f t="shared" si="18"/>
        <v>144874</v>
      </c>
      <c r="L99" s="37"/>
    </row>
    <row r="100" spans="1:12">
      <c r="A100" s="29">
        <v>70</v>
      </c>
      <c r="B100" s="29">
        <f t="shared" si="15"/>
        <v>1.9</v>
      </c>
      <c r="C100" s="605">
        <v>3</v>
      </c>
      <c r="D100" s="34">
        <v>83350</v>
      </c>
      <c r="E100" s="34">
        <f t="shared" si="18"/>
        <v>58525</v>
      </c>
      <c r="F100" s="34">
        <f t="shared" si="18"/>
        <v>65925</v>
      </c>
      <c r="G100" s="34">
        <f t="shared" si="18"/>
        <v>64500</v>
      </c>
      <c r="H100" s="34">
        <f t="shared" si="18"/>
        <v>68350</v>
      </c>
      <c r="I100" s="34">
        <f t="shared" si="18"/>
        <v>72625</v>
      </c>
      <c r="J100" s="34">
        <f t="shared" si="18"/>
        <v>83600</v>
      </c>
      <c r="K100" s="34">
        <f t="shared" si="18"/>
        <v>147800</v>
      </c>
      <c r="L100" s="37"/>
    </row>
    <row r="101" spans="1:12">
      <c r="A101" s="29">
        <v>71</v>
      </c>
      <c r="B101" s="29">
        <f t="shared" si="15"/>
        <v>1.92</v>
      </c>
      <c r="C101" s="605">
        <v>5</v>
      </c>
      <c r="D101" s="34">
        <v>59400</v>
      </c>
      <c r="E101" s="34">
        <f t="shared" ref="E101:K110" si="19">+IF(E$3+(E$5*10+($A101-10)*E$6)*$B101/2&lt;E$4,E$4,E$3+(E$5*10+($A101-10)*E$6)*$B101/2)</f>
        <v>59400</v>
      </c>
      <c r="F101" s="34">
        <f t="shared" si="19"/>
        <v>66744</v>
      </c>
      <c r="G101" s="34">
        <f t="shared" si="19"/>
        <v>65280</v>
      </c>
      <c r="H101" s="34">
        <f t="shared" si="19"/>
        <v>69208</v>
      </c>
      <c r="I101" s="34">
        <f t="shared" si="19"/>
        <v>73600</v>
      </c>
      <c r="J101" s="34">
        <f t="shared" si="19"/>
        <v>84848</v>
      </c>
      <c r="K101" s="34">
        <f t="shared" si="19"/>
        <v>150764</v>
      </c>
      <c r="L101" s="37"/>
    </row>
    <row r="102" spans="1:12">
      <c r="A102" s="29">
        <v>72</v>
      </c>
      <c r="B102" s="29">
        <f t="shared" si="15"/>
        <v>1.94</v>
      </c>
      <c r="C102" s="605">
        <v>2</v>
      </c>
      <c r="D102" s="34">
        <v>60285</v>
      </c>
      <c r="E102" s="34">
        <f t="shared" si="19"/>
        <v>60285</v>
      </c>
      <c r="F102" s="34">
        <f t="shared" si="19"/>
        <v>67573.5</v>
      </c>
      <c r="G102" s="34">
        <f t="shared" si="19"/>
        <v>66070</v>
      </c>
      <c r="H102" s="34">
        <f t="shared" si="19"/>
        <v>70077</v>
      </c>
      <c r="I102" s="34">
        <f t="shared" si="19"/>
        <v>74587.5</v>
      </c>
      <c r="J102" s="34">
        <f t="shared" si="19"/>
        <v>86112</v>
      </c>
      <c r="K102" s="34">
        <f t="shared" si="19"/>
        <v>153766</v>
      </c>
      <c r="L102" s="37"/>
    </row>
    <row r="103" spans="1:12">
      <c r="A103" s="29">
        <v>73</v>
      </c>
      <c r="B103" s="29">
        <f t="shared" si="15"/>
        <v>1.96</v>
      </c>
      <c r="C103" s="605">
        <v>3</v>
      </c>
      <c r="D103" s="34">
        <v>110430</v>
      </c>
      <c r="E103" s="34">
        <f t="shared" si="19"/>
        <v>61180</v>
      </c>
      <c r="F103" s="34">
        <f t="shared" si="19"/>
        <v>68413.5</v>
      </c>
      <c r="G103" s="34">
        <f t="shared" si="19"/>
        <v>66870</v>
      </c>
      <c r="H103" s="34">
        <f t="shared" si="19"/>
        <v>70957</v>
      </c>
      <c r="I103" s="34">
        <f t="shared" si="19"/>
        <v>75587.5</v>
      </c>
      <c r="J103" s="34">
        <f t="shared" si="19"/>
        <v>87392</v>
      </c>
      <c r="K103" s="34">
        <f t="shared" si="19"/>
        <v>156806</v>
      </c>
      <c r="L103" s="37"/>
    </row>
    <row r="104" spans="1:12">
      <c r="A104" s="29">
        <v>74</v>
      </c>
      <c r="B104" s="29">
        <f t="shared" si="15"/>
        <v>1.98</v>
      </c>
      <c r="C104" s="605">
        <v>5</v>
      </c>
      <c r="D104" s="34">
        <v>56789</v>
      </c>
      <c r="E104" s="34">
        <f t="shared" si="19"/>
        <v>62085</v>
      </c>
      <c r="F104" s="34">
        <f t="shared" si="19"/>
        <v>69264</v>
      </c>
      <c r="G104" s="34">
        <f t="shared" si="19"/>
        <v>67680</v>
      </c>
      <c r="H104" s="34">
        <f t="shared" si="19"/>
        <v>71848</v>
      </c>
      <c r="I104" s="34">
        <f t="shared" si="19"/>
        <v>76600</v>
      </c>
      <c r="J104" s="34">
        <f t="shared" si="19"/>
        <v>88688</v>
      </c>
      <c r="K104" s="34">
        <f t="shared" si="19"/>
        <v>159884</v>
      </c>
      <c r="L104" s="37"/>
    </row>
    <row r="105" spans="1:12">
      <c r="A105" s="29">
        <v>75</v>
      </c>
      <c r="B105" s="29">
        <v>2</v>
      </c>
      <c r="C105" s="605">
        <v>2</v>
      </c>
      <c r="D105" s="34">
        <v>63000</v>
      </c>
      <c r="E105" s="34">
        <f t="shared" si="19"/>
        <v>63000</v>
      </c>
      <c r="F105" s="34">
        <f t="shared" si="19"/>
        <v>70125</v>
      </c>
      <c r="G105" s="34">
        <f t="shared" si="19"/>
        <v>68500</v>
      </c>
      <c r="H105" s="34">
        <f t="shared" si="19"/>
        <v>72750</v>
      </c>
      <c r="I105" s="34">
        <f t="shared" si="19"/>
        <v>77625</v>
      </c>
      <c r="J105" s="34">
        <f t="shared" si="19"/>
        <v>90000</v>
      </c>
      <c r="K105" s="34">
        <f t="shared" si="19"/>
        <v>163000</v>
      </c>
      <c r="L105" s="37"/>
    </row>
    <row r="106" spans="1:12">
      <c r="A106" s="29">
        <v>76</v>
      </c>
      <c r="B106" s="29">
        <v>2</v>
      </c>
      <c r="C106" s="605">
        <v>2</v>
      </c>
      <c r="D106" s="34">
        <v>99375</v>
      </c>
      <c r="E106" s="34">
        <f t="shared" si="19"/>
        <v>63500</v>
      </c>
      <c r="F106" s="34">
        <f t="shared" si="19"/>
        <v>70650</v>
      </c>
      <c r="G106" s="34">
        <f t="shared" si="19"/>
        <v>69000</v>
      </c>
      <c r="H106" s="34">
        <f t="shared" si="19"/>
        <v>73300</v>
      </c>
      <c r="I106" s="34">
        <f t="shared" si="19"/>
        <v>78250</v>
      </c>
      <c r="J106" s="34">
        <f t="shared" si="19"/>
        <v>90800</v>
      </c>
      <c r="K106" s="34">
        <f t="shared" si="19"/>
        <v>164900</v>
      </c>
      <c r="L106" s="37"/>
    </row>
    <row r="107" spans="1:12">
      <c r="A107" s="29">
        <v>77</v>
      </c>
      <c r="B107" s="29">
        <v>2</v>
      </c>
      <c r="C107" s="605">
        <v>1</v>
      </c>
      <c r="D107" s="34">
        <v>64000</v>
      </c>
      <c r="E107" s="34">
        <f t="shared" si="19"/>
        <v>64000</v>
      </c>
      <c r="F107" s="34">
        <f t="shared" si="19"/>
        <v>71175</v>
      </c>
      <c r="G107" s="34">
        <f t="shared" si="19"/>
        <v>69500</v>
      </c>
      <c r="H107" s="34">
        <f t="shared" si="19"/>
        <v>73850</v>
      </c>
      <c r="I107" s="34">
        <f t="shared" si="19"/>
        <v>78875</v>
      </c>
      <c r="J107" s="34">
        <f t="shared" si="19"/>
        <v>91600</v>
      </c>
      <c r="K107" s="34">
        <f t="shared" si="19"/>
        <v>166800</v>
      </c>
      <c r="L107" s="37"/>
    </row>
    <row r="108" spans="1:12">
      <c r="A108" s="29">
        <v>79</v>
      </c>
      <c r="B108" s="29">
        <v>2</v>
      </c>
      <c r="C108" s="34">
        <v>4</v>
      </c>
      <c r="D108" s="34">
        <v>83057.5</v>
      </c>
      <c r="E108" s="34">
        <f t="shared" si="19"/>
        <v>65000</v>
      </c>
      <c r="F108" s="34">
        <f t="shared" si="19"/>
        <v>72225</v>
      </c>
      <c r="G108" s="34">
        <f t="shared" si="19"/>
        <v>70500</v>
      </c>
      <c r="H108" s="34">
        <f t="shared" si="19"/>
        <v>74950</v>
      </c>
      <c r="I108" s="34">
        <f t="shared" si="19"/>
        <v>80125</v>
      </c>
      <c r="J108" s="34">
        <f t="shared" si="19"/>
        <v>93200</v>
      </c>
      <c r="K108" s="34">
        <f t="shared" si="19"/>
        <v>170600</v>
      </c>
      <c r="L108" s="37"/>
    </row>
    <row r="109" spans="1:12">
      <c r="A109" s="29">
        <v>80</v>
      </c>
      <c r="B109" s="29">
        <v>2</v>
      </c>
      <c r="C109" s="34">
        <v>1</v>
      </c>
      <c r="D109" s="34">
        <v>65500</v>
      </c>
      <c r="E109" s="34">
        <f t="shared" si="19"/>
        <v>65500</v>
      </c>
      <c r="F109" s="34">
        <f t="shared" si="19"/>
        <v>72750</v>
      </c>
      <c r="G109" s="34">
        <f t="shared" si="19"/>
        <v>71000</v>
      </c>
      <c r="H109" s="34">
        <f t="shared" si="19"/>
        <v>75500</v>
      </c>
      <c r="I109" s="34">
        <f t="shared" si="19"/>
        <v>80750</v>
      </c>
      <c r="J109" s="34">
        <f t="shared" si="19"/>
        <v>94000</v>
      </c>
      <c r="K109" s="34">
        <f t="shared" si="19"/>
        <v>172500</v>
      </c>
      <c r="L109" s="37"/>
    </row>
    <row r="110" spans="1:12">
      <c r="A110" s="29">
        <v>81</v>
      </c>
      <c r="B110" s="29">
        <v>2</v>
      </c>
      <c r="C110" s="34">
        <v>1</v>
      </c>
      <c r="D110" s="34">
        <v>139790</v>
      </c>
      <c r="E110" s="34">
        <f t="shared" si="19"/>
        <v>66000</v>
      </c>
      <c r="F110" s="34">
        <f t="shared" si="19"/>
        <v>73275</v>
      </c>
      <c r="G110" s="34">
        <f t="shared" si="19"/>
        <v>71500</v>
      </c>
      <c r="H110" s="34">
        <f t="shared" si="19"/>
        <v>76050</v>
      </c>
      <c r="I110" s="34">
        <f t="shared" si="19"/>
        <v>81375</v>
      </c>
      <c r="J110" s="34">
        <f t="shared" si="19"/>
        <v>94800</v>
      </c>
      <c r="K110" s="34">
        <f t="shared" si="19"/>
        <v>174400</v>
      </c>
      <c r="L110" s="37"/>
    </row>
    <row r="111" spans="1:12">
      <c r="A111" s="29">
        <v>82</v>
      </c>
      <c r="B111" s="29">
        <v>2</v>
      </c>
      <c r="C111" s="30"/>
      <c r="D111" s="34"/>
      <c r="E111" s="34">
        <f t="shared" ref="E111:K120" si="20">+IF(E$3+(E$5*10+($A111-10)*E$6)*$B111/2&lt;E$4,E$4,E$3+(E$5*10+($A111-10)*E$6)*$B111/2)</f>
        <v>66500</v>
      </c>
      <c r="F111" s="34">
        <f t="shared" si="20"/>
        <v>73800</v>
      </c>
      <c r="G111" s="34">
        <f t="shared" si="20"/>
        <v>72000</v>
      </c>
      <c r="H111" s="34">
        <f t="shared" si="20"/>
        <v>76600</v>
      </c>
      <c r="I111" s="34">
        <f t="shared" si="20"/>
        <v>82000</v>
      </c>
      <c r="J111" s="34">
        <f t="shared" si="20"/>
        <v>95600</v>
      </c>
      <c r="K111" s="34">
        <f t="shared" si="20"/>
        <v>176300</v>
      </c>
      <c r="L111" s="37"/>
    </row>
    <row r="112" spans="1:12">
      <c r="A112" s="29">
        <v>83</v>
      </c>
      <c r="B112" s="29">
        <v>2</v>
      </c>
      <c r="C112" s="605">
        <v>1</v>
      </c>
      <c r="D112" s="34">
        <v>67000</v>
      </c>
      <c r="E112" s="34">
        <f t="shared" si="20"/>
        <v>67000</v>
      </c>
      <c r="F112" s="34">
        <f t="shared" si="20"/>
        <v>74325</v>
      </c>
      <c r="G112" s="34">
        <f t="shared" si="20"/>
        <v>72500</v>
      </c>
      <c r="H112" s="34">
        <f t="shared" si="20"/>
        <v>77150</v>
      </c>
      <c r="I112" s="34">
        <f t="shared" si="20"/>
        <v>82625</v>
      </c>
      <c r="J112" s="34">
        <f t="shared" si="20"/>
        <v>96400</v>
      </c>
      <c r="K112" s="34">
        <f t="shared" si="20"/>
        <v>178200</v>
      </c>
      <c r="L112" s="37"/>
    </row>
    <row r="113" spans="1:12">
      <c r="A113" s="29">
        <v>84</v>
      </c>
      <c r="B113" s="29">
        <v>2</v>
      </c>
      <c r="C113" s="605"/>
      <c r="D113" s="34"/>
      <c r="E113" s="34">
        <f t="shared" si="20"/>
        <v>67500</v>
      </c>
      <c r="F113" s="34">
        <f t="shared" si="20"/>
        <v>74850</v>
      </c>
      <c r="G113" s="34">
        <f t="shared" si="20"/>
        <v>73000</v>
      </c>
      <c r="H113" s="34">
        <f t="shared" si="20"/>
        <v>77700</v>
      </c>
      <c r="I113" s="34">
        <f t="shared" si="20"/>
        <v>83250</v>
      </c>
      <c r="J113" s="34">
        <f t="shared" si="20"/>
        <v>97200</v>
      </c>
      <c r="K113" s="34">
        <f t="shared" si="20"/>
        <v>180100</v>
      </c>
      <c r="L113" s="37"/>
    </row>
    <row r="114" spans="1:12">
      <c r="A114" s="29">
        <v>85</v>
      </c>
      <c r="B114" s="29">
        <v>2</v>
      </c>
      <c r="C114" s="605">
        <v>1</v>
      </c>
      <c r="D114" s="34">
        <v>68000</v>
      </c>
      <c r="E114" s="34">
        <f t="shared" si="20"/>
        <v>68000</v>
      </c>
      <c r="F114" s="34">
        <f t="shared" si="20"/>
        <v>75375</v>
      </c>
      <c r="G114" s="34">
        <f t="shared" si="20"/>
        <v>73500</v>
      </c>
      <c r="H114" s="34">
        <f t="shared" si="20"/>
        <v>78250</v>
      </c>
      <c r="I114" s="34">
        <f t="shared" si="20"/>
        <v>83875</v>
      </c>
      <c r="J114" s="34">
        <f t="shared" si="20"/>
        <v>98000</v>
      </c>
      <c r="K114" s="34">
        <f t="shared" si="20"/>
        <v>182000</v>
      </c>
      <c r="L114" s="37"/>
    </row>
    <row r="115" spans="1:12">
      <c r="A115" s="29">
        <v>86</v>
      </c>
      <c r="B115" s="29">
        <v>2</v>
      </c>
      <c r="C115" s="605">
        <v>1</v>
      </c>
      <c r="D115" s="34">
        <v>38680</v>
      </c>
      <c r="E115" s="34">
        <f t="shared" si="20"/>
        <v>68500</v>
      </c>
      <c r="F115" s="34">
        <f t="shared" si="20"/>
        <v>75900</v>
      </c>
      <c r="G115" s="34">
        <f t="shared" si="20"/>
        <v>74000</v>
      </c>
      <c r="H115" s="34">
        <f t="shared" si="20"/>
        <v>78800</v>
      </c>
      <c r="I115" s="34">
        <f t="shared" si="20"/>
        <v>84500</v>
      </c>
      <c r="J115" s="34">
        <f t="shared" si="20"/>
        <v>98800</v>
      </c>
      <c r="K115" s="34">
        <f t="shared" si="20"/>
        <v>183900</v>
      </c>
      <c r="L115" s="37"/>
    </row>
    <row r="116" spans="1:12">
      <c r="A116" s="29">
        <v>87</v>
      </c>
      <c r="B116" s="29">
        <v>2</v>
      </c>
      <c r="C116" s="605"/>
      <c r="D116" s="34"/>
      <c r="E116" s="34">
        <f t="shared" si="20"/>
        <v>69000</v>
      </c>
      <c r="F116" s="34">
        <f t="shared" si="20"/>
        <v>76425</v>
      </c>
      <c r="G116" s="34">
        <f t="shared" si="20"/>
        <v>74500</v>
      </c>
      <c r="H116" s="34">
        <f t="shared" si="20"/>
        <v>79350</v>
      </c>
      <c r="I116" s="34">
        <f t="shared" si="20"/>
        <v>85125</v>
      </c>
      <c r="J116" s="34">
        <f t="shared" si="20"/>
        <v>99600</v>
      </c>
      <c r="K116" s="34">
        <f t="shared" si="20"/>
        <v>185800</v>
      </c>
      <c r="L116" s="37"/>
    </row>
    <row r="117" spans="1:12">
      <c r="A117" s="29">
        <v>88</v>
      </c>
      <c r="B117" s="29">
        <v>2</v>
      </c>
      <c r="C117" s="605">
        <v>1</v>
      </c>
      <c r="D117" s="34">
        <v>69500</v>
      </c>
      <c r="E117" s="34">
        <f t="shared" si="20"/>
        <v>69500</v>
      </c>
      <c r="F117" s="34">
        <f t="shared" si="20"/>
        <v>76950</v>
      </c>
      <c r="G117" s="34">
        <f t="shared" si="20"/>
        <v>75000</v>
      </c>
      <c r="H117" s="34">
        <f t="shared" si="20"/>
        <v>79900</v>
      </c>
      <c r="I117" s="34">
        <f t="shared" si="20"/>
        <v>85750</v>
      </c>
      <c r="J117" s="34">
        <f t="shared" si="20"/>
        <v>100400</v>
      </c>
      <c r="K117" s="34">
        <f t="shared" si="20"/>
        <v>187700</v>
      </c>
      <c r="L117" s="37"/>
    </row>
    <row r="118" spans="1:12">
      <c r="A118" s="29">
        <v>89</v>
      </c>
      <c r="B118" s="29">
        <v>2</v>
      </c>
      <c r="C118" s="605">
        <v>4</v>
      </c>
      <c r="D118" s="34">
        <v>88061.25</v>
      </c>
      <c r="E118" s="34">
        <f t="shared" si="20"/>
        <v>70000</v>
      </c>
      <c r="F118" s="34">
        <f t="shared" si="20"/>
        <v>77475</v>
      </c>
      <c r="G118" s="34">
        <f t="shared" si="20"/>
        <v>75500</v>
      </c>
      <c r="H118" s="34">
        <f t="shared" si="20"/>
        <v>80450</v>
      </c>
      <c r="I118" s="34">
        <f t="shared" si="20"/>
        <v>86375</v>
      </c>
      <c r="J118" s="34">
        <f t="shared" si="20"/>
        <v>101200</v>
      </c>
      <c r="K118" s="34">
        <f t="shared" si="20"/>
        <v>189600</v>
      </c>
      <c r="L118" s="37"/>
    </row>
    <row r="119" spans="1:12">
      <c r="A119" s="29">
        <v>90</v>
      </c>
      <c r="B119" s="29">
        <v>2</v>
      </c>
      <c r="C119" s="605">
        <v>3</v>
      </c>
      <c r="D119" s="34">
        <v>60300</v>
      </c>
      <c r="E119" s="34">
        <f t="shared" si="20"/>
        <v>70500</v>
      </c>
      <c r="F119" s="34">
        <f t="shared" si="20"/>
        <v>78000</v>
      </c>
      <c r="G119" s="34">
        <f t="shared" si="20"/>
        <v>76000</v>
      </c>
      <c r="H119" s="34">
        <f t="shared" si="20"/>
        <v>81000</v>
      </c>
      <c r="I119" s="34">
        <f t="shared" si="20"/>
        <v>87000</v>
      </c>
      <c r="J119" s="34">
        <f t="shared" si="20"/>
        <v>102000</v>
      </c>
      <c r="K119" s="34">
        <f t="shared" si="20"/>
        <v>191500</v>
      </c>
      <c r="L119" s="37"/>
    </row>
    <row r="120" spans="1:12">
      <c r="A120" s="29">
        <v>91</v>
      </c>
      <c r="B120" s="29">
        <v>2</v>
      </c>
      <c r="C120" s="605"/>
      <c r="D120" s="34"/>
      <c r="E120" s="34">
        <f t="shared" si="20"/>
        <v>71000</v>
      </c>
      <c r="F120" s="34">
        <f t="shared" si="20"/>
        <v>78525</v>
      </c>
      <c r="G120" s="34">
        <f t="shared" si="20"/>
        <v>76500</v>
      </c>
      <c r="H120" s="34">
        <f t="shared" si="20"/>
        <v>81550</v>
      </c>
      <c r="I120" s="34">
        <f t="shared" si="20"/>
        <v>87625</v>
      </c>
      <c r="J120" s="34">
        <f t="shared" si="20"/>
        <v>102800</v>
      </c>
      <c r="K120" s="34">
        <f t="shared" si="20"/>
        <v>193400</v>
      </c>
      <c r="L120" s="37"/>
    </row>
    <row r="121" spans="1:12">
      <c r="A121" s="29">
        <v>92</v>
      </c>
      <c r="B121" s="29">
        <v>2</v>
      </c>
      <c r="C121" s="605">
        <v>1</v>
      </c>
      <c r="D121" s="34">
        <v>71500</v>
      </c>
      <c r="E121" s="34">
        <f t="shared" ref="E121:K130" si="21">+IF(E$3+(E$5*10+($A121-10)*E$6)*$B121/2&lt;E$4,E$4,E$3+(E$5*10+($A121-10)*E$6)*$B121/2)</f>
        <v>71500</v>
      </c>
      <c r="F121" s="34">
        <f t="shared" si="21"/>
        <v>79050</v>
      </c>
      <c r="G121" s="34">
        <f t="shared" si="21"/>
        <v>77000</v>
      </c>
      <c r="H121" s="34">
        <f t="shared" si="21"/>
        <v>82100</v>
      </c>
      <c r="I121" s="34">
        <f t="shared" si="21"/>
        <v>88250</v>
      </c>
      <c r="J121" s="34">
        <f t="shared" si="21"/>
        <v>103600</v>
      </c>
      <c r="K121" s="34">
        <f t="shared" si="21"/>
        <v>195300</v>
      </c>
      <c r="L121" s="37"/>
    </row>
    <row r="122" spans="1:12">
      <c r="A122" s="29">
        <v>93</v>
      </c>
      <c r="B122" s="29">
        <v>2</v>
      </c>
      <c r="C122" s="605">
        <v>2</v>
      </c>
      <c r="D122" s="34">
        <v>72000</v>
      </c>
      <c r="E122" s="34">
        <f t="shared" si="21"/>
        <v>72000</v>
      </c>
      <c r="F122" s="34">
        <f t="shared" si="21"/>
        <v>79575</v>
      </c>
      <c r="G122" s="34">
        <f t="shared" si="21"/>
        <v>77500</v>
      </c>
      <c r="H122" s="34">
        <f t="shared" si="21"/>
        <v>82650</v>
      </c>
      <c r="I122" s="34">
        <f t="shared" si="21"/>
        <v>88875</v>
      </c>
      <c r="J122" s="34">
        <f t="shared" si="21"/>
        <v>104400</v>
      </c>
      <c r="K122" s="34">
        <f t="shared" si="21"/>
        <v>197200</v>
      </c>
      <c r="L122" s="37"/>
    </row>
    <row r="123" spans="1:12">
      <c r="A123" s="29">
        <v>94</v>
      </c>
      <c r="B123" s="29">
        <v>2</v>
      </c>
      <c r="C123" s="605"/>
      <c r="D123" s="34"/>
      <c r="E123" s="34">
        <f t="shared" si="21"/>
        <v>72500</v>
      </c>
      <c r="F123" s="34">
        <f t="shared" si="21"/>
        <v>80100</v>
      </c>
      <c r="G123" s="34">
        <f t="shared" si="21"/>
        <v>78000</v>
      </c>
      <c r="H123" s="34">
        <f t="shared" si="21"/>
        <v>83200</v>
      </c>
      <c r="I123" s="34">
        <f t="shared" si="21"/>
        <v>89500</v>
      </c>
      <c r="J123" s="34">
        <f t="shared" si="21"/>
        <v>105200</v>
      </c>
      <c r="K123" s="34">
        <f t="shared" si="21"/>
        <v>199100</v>
      </c>
      <c r="L123" s="37"/>
    </row>
    <row r="124" spans="1:12">
      <c r="A124" s="29">
        <v>95</v>
      </c>
      <c r="B124" s="29">
        <v>2</v>
      </c>
      <c r="C124" s="605">
        <v>1</v>
      </c>
      <c r="D124" s="34">
        <v>73000</v>
      </c>
      <c r="E124" s="34">
        <f t="shared" si="21"/>
        <v>73000</v>
      </c>
      <c r="F124" s="34">
        <f t="shared" si="21"/>
        <v>80625</v>
      </c>
      <c r="G124" s="34">
        <f t="shared" si="21"/>
        <v>78500</v>
      </c>
      <c r="H124" s="34">
        <f t="shared" si="21"/>
        <v>83750</v>
      </c>
      <c r="I124" s="34">
        <f t="shared" si="21"/>
        <v>90125</v>
      </c>
      <c r="J124" s="34">
        <f t="shared" si="21"/>
        <v>106000</v>
      </c>
      <c r="K124" s="34">
        <f t="shared" si="21"/>
        <v>201000</v>
      </c>
      <c r="L124" s="37"/>
    </row>
    <row r="125" spans="1:12">
      <c r="A125" s="29">
        <v>96</v>
      </c>
      <c r="B125" s="29">
        <v>2</v>
      </c>
      <c r="C125" s="605"/>
      <c r="D125" s="34"/>
      <c r="E125" s="34">
        <f t="shared" si="21"/>
        <v>73500</v>
      </c>
      <c r="F125" s="34">
        <f t="shared" si="21"/>
        <v>81150</v>
      </c>
      <c r="G125" s="34">
        <f t="shared" si="21"/>
        <v>79000</v>
      </c>
      <c r="H125" s="34">
        <f t="shared" si="21"/>
        <v>84300</v>
      </c>
      <c r="I125" s="34">
        <f t="shared" si="21"/>
        <v>90750</v>
      </c>
      <c r="J125" s="34">
        <f t="shared" si="21"/>
        <v>106800</v>
      </c>
      <c r="K125" s="34">
        <f t="shared" si="21"/>
        <v>202900</v>
      </c>
      <c r="L125" s="37"/>
    </row>
    <row r="126" spans="1:12">
      <c r="A126" s="29">
        <v>97</v>
      </c>
      <c r="B126" s="29">
        <v>2</v>
      </c>
      <c r="C126" s="605">
        <v>3</v>
      </c>
      <c r="D126" s="34">
        <v>74000</v>
      </c>
      <c r="E126" s="34">
        <f t="shared" si="21"/>
        <v>74000</v>
      </c>
      <c r="F126" s="34">
        <f t="shared" si="21"/>
        <v>81675</v>
      </c>
      <c r="G126" s="34">
        <f t="shared" si="21"/>
        <v>79500</v>
      </c>
      <c r="H126" s="34">
        <f t="shared" si="21"/>
        <v>84850</v>
      </c>
      <c r="I126" s="34">
        <f t="shared" si="21"/>
        <v>91375</v>
      </c>
      <c r="J126" s="34">
        <f t="shared" si="21"/>
        <v>107600</v>
      </c>
      <c r="K126" s="34">
        <f t="shared" si="21"/>
        <v>204800</v>
      </c>
      <c r="L126" s="37"/>
    </row>
    <row r="127" spans="1:12">
      <c r="A127" s="29">
        <v>98</v>
      </c>
      <c r="B127" s="29">
        <v>2</v>
      </c>
      <c r="C127" s="605">
        <v>1</v>
      </c>
      <c r="D127" s="34">
        <v>74500</v>
      </c>
      <c r="E127" s="34">
        <f t="shared" si="21"/>
        <v>74500</v>
      </c>
      <c r="F127" s="34">
        <f t="shared" si="21"/>
        <v>82200</v>
      </c>
      <c r="G127" s="34">
        <f t="shared" si="21"/>
        <v>80000</v>
      </c>
      <c r="H127" s="34">
        <f t="shared" si="21"/>
        <v>85400</v>
      </c>
      <c r="I127" s="34">
        <f t="shared" si="21"/>
        <v>92000</v>
      </c>
      <c r="J127" s="34">
        <f t="shared" si="21"/>
        <v>108400</v>
      </c>
      <c r="K127" s="34">
        <f t="shared" si="21"/>
        <v>206700</v>
      </c>
      <c r="L127" s="37"/>
    </row>
    <row r="128" spans="1:12">
      <c r="A128" s="29">
        <v>99</v>
      </c>
      <c r="B128" s="29">
        <v>2</v>
      </c>
      <c r="C128" s="605">
        <v>1</v>
      </c>
      <c r="D128" s="34">
        <v>75000</v>
      </c>
      <c r="E128" s="34">
        <f t="shared" si="21"/>
        <v>75000</v>
      </c>
      <c r="F128" s="34">
        <f t="shared" si="21"/>
        <v>82725</v>
      </c>
      <c r="G128" s="34">
        <f t="shared" si="21"/>
        <v>80500</v>
      </c>
      <c r="H128" s="34">
        <f t="shared" si="21"/>
        <v>85950</v>
      </c>
      <c r="I128" s="34">
        <f t="shared" si="21"/>
        <v>92625</v>
      </c>
      <c r="J128" s="34">
        <f t="shared" si="21"/>
        <v>109200</v>
      </c>
      <c r="K128" s="34">
        <f t="shared" si="21"/>
        <v>208600</v>
      </c>
      <c r="L128" s="37"/>
    </row>
    <row r="129" spans="1:12">
      <c r="A129" s="29">
        <v>100</v>
      </c>
      <c r="B129" s="29">
        <v>2</v>
      </c>
      <c r="C129" s="605">
        <v>1</v>
      </c>
      <c r="D129" s="34">
        <v>75500</v>
      </c>
      <c r="E129" s="34">
        <f t="shared" si="21"/>
        <v>75500</v>
      </c>
      <c r="F129" s="34">
        <f t="shared" si="21"/>
        <v>83250</v>
      </c>
      <c r="G129" s="34">
        <f t="shared" si="21"/>
        <v>81000</v>
      </c>
      <c r="H129" s="34">
        <f t="shared" si="21"/>
        <v>86500</v>
      </c>
      <c r="I129" s="34">
        <f t="shared" si="21"/>
        <v>93250</v>
      </c>
      <c r="J129" s="34">
        <f t="shared" si="21"/>
        <v>110000</v>
      </c>
      <c r="K129" s="34">
        <f t="shared" si="21"/>
        <v>210500</v>
      </c>
      <c r="L129" s="37"/>
    </row>
    <row r="130" spans="1:12">
      <c r="A130" s="29">
        <v>101</v>
      </c>
      <c r="B130" s="29">
        <v>2</v>
      </c>
      <c r="C130" s="605"/>
      <c r="D130" s="34"/>
      <c r="E130" s="34">
        <f t="shared" si="21"/>
        <v>76000</v>
      </c>
      <c r="F130" s="34">
        <f t="shared" si="21"/>
        <v>83775</v>
      </c>
      <c r="G130" s="34">
        <f t="shared" si="21"/>
        <v>81500</v>
      </c>
      <c r="H130" s="34">
        <f t="shared" si="21"/>
        <v>87050</v>
      </c>
      <c r="I130" s="34">
        <f t="shared" si="21"/>
        <v>93875</v>
      </c>
      <c r="J130" s="34">
        <f t="shared" si="21"/>
        <v>110800</v>
      </c>
      <c r="K130" s="34">
        <f t="shared" si="21"/>
        <v>212400</v>
      </c>
      <c r="L130" s="37"/>
    </row>
    <row r="131" spans="1:12">
      <c r="A131" s="29">
        <v>102</v>
      </c>
      <c r="B131" s="29">
        <v>2</v>
      </c>
      <c r="C131" s="605">
        <v>1</v>
      </c>
      <c r="D131" s="34">
        <v>76500</v>
      </c>
      <c r="E131" s="34">
        <f t="shared" ref="E131:K140" si="22">+IF(E$3+(E$5*10+($A131-10)*E$6)*$B131/2&lt;E$4,E$4,E$3+(E$5*10+($A131-10)*E$6)*$B131/2)</f>
        <v>76500</v>
      </c>
      <c r="F131" s="34">
        <f t="shared" si="22"/>
        <v>84300</v>
      </c>
      <c r="G131" s="34">
        <f t="shared" si="22"/>
        <v>82000</v>
      </c>
      <c r="H131" s="34">
        <f t="shared" si="22"/>
        <v>87600</v>
      </c>
      <c r="I131" s="34">
        <f t="shared" si="22"/>
        <v>94500</v>
      </c>
      <c r="J131" s="34">
        <f t="shared" si="22"/>
        <v>111600</v>
      </c>
      <c r="K131" s="34">
        <f t="shared" si="22"/>
        <v>214300</v>
      </c>
      <c r="L131" s="37"/>
    </row>
    <row r="132" spans="1:12">
      <c r="A132" s="29">
        <v>103</v>
      </c>
      <c r="B132" s="29">
        <v>2</v>
      </c>
      <c r="C132" s="605">
        <v>2</v>
      </c>
      <c r="D132" s="34">
        <v>77000</v>
      </c>
      <c r="E132" s="34">
        <f t="shared" si="22"/>
        <v>77000</v>
      </c>
      <c r="F132" s="34">
        <f t="shared" si="22"/>
        <v>84825</v>
      </c>
      <c r="G132" s="34">
        <f t="shared" si="22"/>
        <v>82500</v>
      </c>
      <c r="H132" s="34">
        <f t="shared" si="22"/>
        <v>88150</v>
      </c>
      <c r="I132" s="34">
        <f t="shared" si="22"/>
        <v>95125</v>
      </c>
      <c r="J132" s="34">
        <f t="shared" si="22"/>
        <v>112400</v>
      </c>
      <c r="K132" s="34">
        <f t="shared" si="22"/>
        <v>216200</v>
      </c>
      <c r="L132" s="37"/>
    </row>
    <row r="133" spans="1:12">
      <c r="A133" s="29">
        <v>104</v>
      </c>
      <c r="B133" s="29">
        <v>2</v>
      </c>
      <c r="C133" s="605"/>
      <c r="D133" s="34"/>
      <c r="E133" s="34">
        <f t="shared" si="22"/>
        <v>77500</v>
      </c>
      <c r="F133" s="34">
        <f t="shared" si="22"/>
        <v>85350</v>
      </c>
      <c r="G133" s="34">
        <f t="shared" si="22"/>
        <v>83000</v>
      </c>
      <c r="H133" s="34">
        <f t="shared" si="22"/>
        <v>88700</v>
      </c>
      <c r="I133" s="34">
        <f t="shared" si="22"/>
        <v>95750</v>
      </c>
      <c r="J133" s="34">
        <f t="shared" si="22"/>
        <v>113200</v>
      </c>
      <c r="K133" s="34">
        <f t="shared" si="22"/>
        <v>218100</v>
      </c>
      <c r="L133" s="37"/>
    </row>
    <row r="134" spans="1:12">
      <c r="A134" s="29">
        <v>105</v>
      </c>
      <c r="B134" s="29">
        <v>2</v>
      </c>
      <c r="C134" s="605">
        <v>1</v>
      </c>
      <c r="D134" s="34">
        <v>78000</v>
      </c>
      <c r="E134" s="34">
        <f t="shared" si="22"/>
        <v>78000</v>
      </c>
      <c r="F134" s="34">
        <f t="shared" si="22"/>
        <v>85875</v>
      </c>
      <c r="G134" s="34">
        <f t="shared" si="22"/>
        <v>83500</v>
      </c>
      <c r="H134" s="34">
        <f t="shared" si="22"/>
        <v>89250</v>
      </c>
      <c r="I134" s="34">
        <f t="shared" si="22"/>
        <v>96375</v>
      </c>
      <c r="J134" s="34">
        <f t="shared" si="22"/>
        <v>114000</v>
      </c>
      <c r="K134" s="34">
        <f t="shared" si="22"/>
        <v>220000</v>
      </c>
      <c r="L134" s="37"/>
    </row>
    <row r="135" spans="1:12">
      <c r="A135" s="29">
        <v>106</v>
      </c>
      <c r="B135" s="29">
        <v>2</v>
      </c>
      <c r="C135" s="605">
        <v>1</v>
      </c>
      <c r="D135" s="34">
        <v>78500</v>
      </c>
      <c r="E135" s="34">
        <f t="shared" si="22"/>
        <v>78500</v>
      </c>
      <c r="F135" s="34">
        <f t="shared" si="22"/>
        <v>86400</v>
      </c>
      <c r="G135" s="34">
        <f t="shared" si="22"/>
        <v>84000</v>
      </c>
      <c r="H135" s="34">
        <f t="shared" si="22"/>
        <v>89800</v>
      </c>
      <c r="I135" s="34">
        <f t="shared" si="22"/>
        <v>97000</v>
      </c>
      <c r="J135" s="34">
        <f t="shared" si="22"/>
        <v>114800</v>
      </c>
      <c r="K135" s="34">
        <f t="shared" si="22"/>
        <v>221900</v>
      </c>
      <c r="L135" s="37"/>
    </row>
    <row r="136" spans="1:12">
      <c r="A136" s="29">
        <v>107</v>
      </c>
      <c r="B136" s="29">
        <v>2</v>
      </c>
      <c r="C136" s="605">
        <v>1</v>
      </c>
      <c r="D136" s="34">
        <v>79000</v>
      </c>
      <c r="E136" s="34">
        <f t="shared" si="22"/>
        <v>79000</v>
      </c>
      <c r="F136" s="34">
        <f t="shared" si="22"/>
        <v>86925</v>
      </c>
      <c r="G136" s="34">
        <f t="shared" si="22"/>
        <v>84500</v>
      </c>
      <c r="H136" s="34">
        <f t="shared" si="22"/>
        <v>90350</v>
      </c>
      <c r="I136" s="34">
        <f t="shared" si="22"/>
        <v>97625</v>
      </c>
      <c r="J136" s="34">
        <f t="shared" si="22"/>
        <v>115600</v>
      </c>
      <c r="K136" s="34">
        <f t="shared" si="22"/>
        <v>223800</v>
      </c>
      <c r="L136" s="37"/>
    </row>
    <row r="137" spans="1:12">
      <c r="A137" s="29">
        <v>108</v>
      </c>
      <c r="B137" s="29">
        <v>2</v>
      </c>
      <c r="C137" s="605">
        <v>1</v>
      </c>
      <c r="D137" s="34">
        <v>79500</v>
      </c>
      <c r="E137" s="34">
        <f t="shared" si="22"/>
        <v>79500</v>
      </c>
      <c r="F137" s="34">
        <f t="shared" si="22"/>
        <v>87450</v>
      </c>
      <c r="G137" s="34">
        <f t="shared" si="22"/>
        <v>85000</v>
      </c>
      <c r="H137" s="34">
        <f t="shared" si="22"/>
        <v>90900</v>
      </c>
      <c r="I137" s="34">
        <f t="shared" si="22"/>
        <v>98250</v>
      </c>
      <c r="J137" s="34">
        <f t="shared" si="22"/>
        <v>116400</v>
      </c>
      <c r="K137" s="34">
        <f t="shared" si="22"/>
        <v>225700</v>
      </c>
      <c r="L137" s="37"/>
    </row>
    <row r="138" spans="1:12">
      <c r="A138" s="29">
        <v>109</v>
      </c>
      <c r="B138" s="29">
        <v>2</v>
      </c>
      <c r="C138" s="605"/>
      <c r="D138" s="34"/>
      <c r="E138" s="34">
        <f t="shared" si="22"/>
        <v>80000</v>
      </c>
      <c r="F138" s="34">
        <f t="shared" si="22"/>
        <v>87975</v>
      </c>
      <c r="G138" s="34">
        <f t="shared" si="22"/>
        <v>85500</v>
      </c>
      <c r="H138" s="34">
        <f t="shared" si="22"/>
        <v>91450</v>
      </c>
      <c r="I138" s="34">
        <f t="shared" si="22"/>
        <v>98875</v>
      </c>
      <c r="J138" s="34">
        <f t="shared" si="22"/>
        <v>117200</v>
      </c>
      <c r="K138" s="34">
        <f t="shared" si="22"/>
        <v>227600</v>
      </c>
      <c r="L138" s="37"/>
    </row>
    <row r="139" spans="1:12">
      <c r="A139" s="29">
        <v>110</v>
      </c>
      <c r="B139" s="29">
        <v>2</v>
      </c>
      <c r="C139" s="605"/>
      <c r="D139" s="34"/>
      <c r="E139" s="34">
        <f t="shared" si="22"/>
        <v>80500</v>
      </c>
      <c r="F139" s="34">
        <f t="shared" si="22"/>
        <v>88500</v>
      </c>
      <c r="G139" s="34">
        <f t="shared" si="22"/>
        <v>86000</v>
      </c>
      <c r="H139" s="34">
        <f t="shared" si="22"/>
        <v>92000</v>
      </c>
      <c r="I139" s="34">
        <f t="shared" si="22"/>
        <v>99500</v>
      </c>
      <c r="J139" s="34">
        <f t="shared" si="22"/>
        <v>118000</v>
      </c>
      <c r="K139" s="34">
        <f t="shared" si="22"/>
        <v>229500</v>
      </c>
      <c r="L139" s="37"/>
    </row>
    <row r="140" spans="1:12">
      <c r="A140" s="29">
        <v>111</v>
      </c>
      <c r="B140" s="29">
        <v>2</v>
      </c>
      <c r="C140" s="605">
        <v>1</v>
      </c>
      <c r="D140" s="34">
        <v>81000</v>
      </c>
      <c r="E140" s="34">
        <f t="shared" si="22"/>
        <v>81000</v>
      </c>
      <c r="F140" s="34">
        <f t="shared" si="22"/>
        <v>89025</v>
      </c>
      <c r="G140" s="34">
        <f t="shared" si="22"/>
        <v>86500</v>
      </c>
      <c r="H140" s="34">
        <f t="shared" si="22"/>
        <v>92550</v>
      </c>
      <c r="I140" s="34">
        <f t="shared" si="22"/>
        <v>100125</v>
      </c>
      <c r="J140" s="34">
        <f t="shared" si="22"/>
        <v>118800</v>
      </c>
      <c r="K140" s="34">
        <f t="shared" si="22"/>
        <v>231400</v>
      </c>
      <c r="L140" s="37"/>
    </row>
    <row r="141" spans="1:12">
      <c r="A141" s="29">
        <v>112</v>
      </c>
      <c r="B141" s="29">
        <v>2</v>
      </c>
      <c r="C141" s="605">
        <v>3</v>
      </c>
      <c r="D141" s="34">
        <v>81682.666666666672</v>
      </c>
      <c r="E141" s="34">
        <f t="shared" ref="E141:K150" si="23">+IF(E$3+(E$5*10+($A141-10)*E$6)*$B141/2&lt;E$4,E$4,E$3+(E$5*10+($A141-10)*E$6)*$B141/2)</f>
        <v>81500</v>
      </c>
      <c r="F141" s="34">
        <f t="shared" si="23"/>
        <v>89550</v>
      </c>
      <c r="G141" s="34">
        <f t="shared" si="23"/>
        <v>87000</v>
      </c>
      <c r="H141" s="34">
        <f t="shared" si="23"/>
        <v>93100</v>
      </c>
      <c r="I141" s="34">
        <f t="shared" si="23"/>
        <v>100750</v>
      </c>
      <c r="J141" s="34">
        <f t="shared" si="23"/>
        <v>119600</v>
      </c>
      <c r="K141" s="34">
        <f t="shared" si="23"/>
        <v>233300</v>
      </c>
      <c r="L141" s="37"/>
    </row>
    <row r="142" spans="1:12">
      <c r="A142" s="29">
        <v>113</v>
      </c>
      <c r="B142" s="29">
        <v>2</v>
      </c>
      <c r="C142" s="605">
        <v>2</v>
      </c>
      <c r="D142" s="34">
        <v>82586.5</v>
      </c>
      <c r="E142" s="34">
        <f t="shared" si="23"/>
        <v>82000</v>
      </c>
      <c r="F142" s="34">
        <f t="shared" si="23"/>
        <v>90075</v>
      </c>
      <c r="G142" s="34">
        <f t="shared" si="23"/>
        <v>87500</v>
      </c>
      <c r="H142" s="34">
        <f t="shared" si="23"/>
        <v>93650</v>
      </c>
      <c r="I142" s="34">
        <f t="shared" si="23"/>
        <v>101375</v>
      </c>
      <c r="J142" s="34">
        <f t="shared" si="23"/>
        <v>120400</v>
      </c>
      <c r="K142" s="34">
        <f t="shared" si="23"/>
        <v>235200</v>
      </c>
      <c r="L142" s="37"/>
    </row>
    <row r="143" spans="1:12">
      <c r="A143" s="29">
        <v>114</v>
      </c>
      <c r="B143" s="29">
        <v>2</v>
      </c>
      <c r="C143" s="605"/>
      <c r="D143" s="34"/>
      <c r="E143" s="34">
        <f t="shared" si="23"/>
        <v>82500</v>
      </c>
      <c r="F143" s="34">
        <f t="shared" si="23"/>
        <v>90600</v>
      </c>
      <c r="G143" s="34">
        <f t="shared" si="23"/>
        <v>88000</v>
      </c>
      <c r="H143" s="34">
        <f t="shared" si="23"/>
        <v>94200</v>
      </c>
      <c r="I143" s="34">
        <f t="shared" si="23"/>
        <v>102000</v>
      </c>
      <c r="J143" s="34">
        <f t="shared" si="23"/>
        <v>121200</v>
      </c>
      <c r="K143" s="34">
        <f t="shared" si="23"/>
        <v>237100</v>
      </c>
      <c r="L143" s="37"/>
    </row>
    <row r="144" spans="1:12">
      <c r="A144" s="29">
        <v>115</v>
      </c>
      <c r="B144" s="29">
        <v>2</v>
      </c>
      <c r="C144" s="605"/>
      <c r="D144" s="34"/>
      <c r="E144" s="34">
        <f t="shared" si="23"/>
        <v>83000</v>
      </c>
      <c r="F144" s="34">
        <f t="shared" si="23"/>
        <v>91125</v>
      </c>
      <c r="G144" s="34">
        <f t="shared" si="23"/>
        <v>88500</v>
      </c>
      <c r="H144" s="34">
        <f t="shared" si="23"/>
        <v>94750</v>
      </c>
      <c r="I144" s="34">
        <f t="shared" si="23"/>
        <v>102625</v>
      </c>
      <c r="J144" s="34">
        <f t="shared" si="23"/>
        <v>122000</v>
      </c>
      <c r="K144" s="34">
        <f t="shared" si="23"/>
        <v>239000</v>
      </c>
      <c r="L144" s="37"/>
    </row>
    <row r="145" spans="1:12">
      <c r="A145" s="29">
        <v>116</v>
      </c>
      <c r="B145" s="29">
        <v>2</v>
      </c>
      <c r="C145" s="605">
        <v>2</v>
      </c>
      <c r="D145" s="34">
        <v>83500</v>
      </c>
      <c r="E145" s="34">
        <f t="shared" si="23"/>
        <v>83500</v>
      </c>
      <c r="F145" s="34">
        <f t="shared" si="23"/>
        <v>91650</v>
      </c>
      <c r="G145" s="34">
        <f t="shared" si="23"/>
        <v>89000</v>
      </c>
      <c r="H145" s="34">
        <f t="shared" si="23"/>
        <v>95300</v>
      </c>
      <c r="I145" s="34">
        <f t="shared" si="23"/>
        <v>103250</v>
      </c>
      <c r="J145" s="34">
        <f t="shared" si="23"/>
        <v>122800</v>
      </c>
      <c r="K145" s="34">
        <f t="shared" si="23"/>
        <v>240900</v>
      </c>
      <c r="L145" s="37"/>
    </row>
    <row r="146" spans="1:12">
      <c r="A146" s="29">
        <v>117</v>
      </c>
      <c r="B146" s="29">
        <v>2</v>
      </c>
      <c r="C146" s="605"/>
      <c r="D146" s="34"/>
      <c r="E146" s="34">
        <f t="shared" si="23"/>
        <v>84000</v>
      </c>
      <c r="F146" s="34">
        <f t="shared" si="23"/>
        <v>92175</v>
      </c>
      <c r="G146" s="34">
        <f t="shared" si="23"/>
        <v>89500</v>
      </c>
      <c r="H146" s="34">
        <f t="shared" si="23"/>
        <v>95850</v>
      </c>
      <c r="I146" s="34">
        <f t="shared" si="23"/>
        <v>103875</v>
      </c>
      <c r="J146" s="34">
        <f t="shared" si="23"/>
        <v>123600</v>
      </c>
      <c r="K146" s="34">
        <f t="shared" si="23"/>
        <v>242800</v>
      </c>
      <c r="L146" s="37"/>
    </row>
    <row r="147" spans="1:12">
      <c r="A147" s="29">
        <v>118</v>
      </c>
      <c r="B147" s="29">
        <v>2</v>
      </c>
      <c r="C147" s="605"/>
      <c r="D147" s="34"/>
      <c r="E147" s="34">
        <f t="shared" si="23"/>
        <v>84500</v>
      </c>
      <c r="F147" s="34">
        <f t="shared" si="23"/>
        <v>92700</v>
      </c>
      <c r="G147" s="34">
        <f t="shared" si="23"/>
        <v>90000</v>
      </c>
      <c r="H147" s="34">
        <f t="shared" si="23"/>
        <v>96400</v>
      </c>
      <c r="I147" s="34">
        <f t="shared" si="23"/>
        <v>104500</v>
      </c>
      <c r="J147" s="34">
        <f t="shared" si="23"/>
        <v>124400</v>
      </c>
      <c r="K147" s="34">
        <f t="shared" si="23"/>
        <v>244700</v>
      </c>
      <c r="L147" s="37"/>
    </row>
    <row r="148" spans="1:12">
      <c r="A148" s="29">
        <v>119</v>
      </c>
      <c r="B148" s="29">
        <v>2</v>
      </c>
      <c r="C148" s="605"/>
      <c r="D148" s="34"/>
      <c r="E148" s="34">
        <f t="shared" si="23"/>
        <v>85000</v>
      </c>
      <c r="F148" s="34">
        <f t="shared" si="23"/>
        <v>93225</v>
      </c>
      <c r="G148" s="34">
        <f t="shared" si="23"/>
        <v>90500</v>
      </c>
      <c r="H148" s="34">
        <f t="shared" si="23"/>
        <v>96950</v>
      </c>
      <c r="I148" s="34">
        <f t="shared" si="23"/>
        <v>105125</v>
      </c>
      <c r="J148" s="34">
        <f t="shared" si="23"/>
        <v>125200</v>
      </c>
      <c r="K148" s="34">
        <f t="shared" si="23"/>
        <v>246600</v>
      </c>
      <c r="L148" s="37"/>
    </row>
    <row r="149" spans="1:12">
      <c r="A149" s="29">
        <v>120</v>
      </c>
      <c r="B149" s="29">
        <v>2</v>
      </c>
      <c r="C149" s="605"/>
      <c r="D149" s="34"/>
      <c r="E149" s="34">
        <f t="shared" si="23"/>
        <v>85500</v>
      </c>
      <c r="F149" s="34">
        <f t="shared" si="23"/>
        <v>93750</v>
      </c>
      <c r="G149" s="34">
        <f t="shared" si="23"/>
        <v>91000</v>
      </c>
      <c r="H149" s="34">
        <f t="shared" si="23"/>
        <v>97500</v>
      </c>
      <c r="I149" s="34">
        <f t="shared" si="23"/>
        <v>105750</v>
      </c>
      <c r="J149" s="34">
        <f t="shared" si="23"/>
        <v>126000</v>
      </c>
      <c r="K149" s="34">
        <f t="shared" si="23"/>
        <v>248500</v>
      </c>
      <c r="L149" s="37"/>
    </row>
    <row r="150" spans="1:12">
      <c r="A150" s="29">
        <v>121</v>
      </c>
      <c r="B150" s="29">
        <v>2</v>
      </c>
      <c r="C150" s="605"/>
      <c r="D150" s="34"/>
      <c r="E150" s="34">
        <f t="shared" si="23"/>
        <v>86000</v>
      </c>
      <c r="F150" s="34">
        <f t="shared" si="23"/>
        <v>94275</v>
      </c>
      <c r="G150" s="34">
        <f t="shared" si="23"/>
        <v>91500</v>
      </c>
      <c r="H150" s="34">
        <f t="shared" si="23"/>
        <v>98050</v>
      </c>
      <c r="I150" s="34">
        <f t="shared" si="23"/>
        <v>106375</v>
      </c>
      <c r="J150" s="34">
        <f t="shared" si="23"/>
        <v>126800</v>
      </c>
      <c r="K150" s="34">
        <f t="shared" si="23"/>
        <v>250400</v>
      </c>
      <c r="L150" s="37"/>
    </row>
    <row r="151" spans="1:12">
      <c r="A151" s="29">
        <v>122</v>
      </c>
      <c r="B151" s="29">
        <v>2</v>
      </c>
      <c r="C151" s="605">
        <v>1</v>
      </c>
      <c r="D151" s="34">
        <v>86500</v>
      </c>
      <c r="E151" s="34">
        <f t="shared" ref="E151:K160" si="24">+IF(E$3+(E$5*10+($A151-10)*E$6)*$B151/2&lt;E$4,E$4,E$3+(E$5*10+($A151-10)*E$6)*$B151/2)</f>
        <v>86500</v>
      </c>
      <c r="F151" s="34">
        <f t="shared" si="24"/>
        <v>94800</v>
      </c>
      <c r="G151" s="34">
        <f t="shared" si="24"/>
        <v>92000</v>
      </c>
      <c r="H151" s="34">
        <f t="shared" si="24"/>
        <v>98600</v>
      </c>
      <c r="I151" s="34">
        <f t="shared" si="24"/>
        <v>107000</v>
      </c>
      <c r="J151" s="34">
        <f t="shared" si="24"/>
        <v>127600</v>
      </c>
      <c r="K151" s="34">
        <f t="shared" si="24"/>
        <v>252300</v>
      </c>
      <c r="L151" s="37"/>
    </row>
    <row r="152" spans="1:12">
      <c r="A152" s="29">
        <v>123</v>
      </c>
      <c r="B152" s="29">
        <v>2</v>
      </c>
      <c r="C152" s="605">
        <v>2</v>
      </c>
      <c r="D152" s="34">
        <v>87000</v>
      </c>
      <c r="E152" s="34">
        <f t="shared" si="24"/>
        <v>87000</v>
      </c>
      <c r="F152" s="34">
        <f t="shared" si="24"/>
        <v>95325</v>
      </c>
      <c r="G152" s="34">
        <f t="shared" si="24"/>
        <v>92500</v>
      </c>
      <c r="H152" s="34">
        <f t="shared" si="24"/>
        <v>99150</v>
      </c>
      <c r="I152" s="34">
        <f t="shared" si="24"/>
        <v>107625</v>
      </c>
      <c r="J152" s="34">
        <f t="shared" si="24"/>
        <v>128400</v>
      </c>
      <c r="K152" s="34">
        <f t="shared" si="24"/>
        <v>254200</v>
      </c>
      <c r="L152" s="37"/>
    </row>
    <row r="153" spans="1:12">
      <c r="A153" s="29">
        <v>124</v>
      </c>
      <c r="B153" s="29">
        <v>2</v>
      </c>
      <c r="C153" s="605">
        <v>1</v>
      </c>
      <c r="D153" s="34">
        <v>87500</v>
      </c>
      <c r="E153" s="34">
        <f t="shared" si="24"/>
        <v>87500</v>
      </c>
      <c r="F153" s="34">
        <f t="shared" si="24"/>
        <v>95850</v>
      </c>
      <c r="G153" s="34">
        <f t="shared" si="24"/>
        <v>93000</v>
      </c>
      <c r="H153" s="34">
        <f t="shared" si="24"/>
        <v>99700</v>
      </c>
      <c r="I153" s="34">
        <f t="shared" si="24"/>
        <v>108250</v>
      </c>
      <c r="J153" s="34">
        <f t="shared" si="24"/>
        <v>129200</v>
      </c>
      <c r="K153" s="34">
        <f t="shared" si="24"/>
        <v>256100</v>
      </c>
      <c r="L153" s="37"/>
    </row>
    <row r="154" spans="1:12">
      <c r="A154" s="29">
        <v>125</v>
      </c>
      <c r="B154" s="29">
        <v>2</v>
      </c>
      <c r="C154" s="605">
        <v>1</v>
      </c>
      <c r="D154" s="34">
        <v>88000</v>
      </c>
      <c r="E154" s="34">
        <f t="shared" si="24"/>
        <v>88000</v>
      </c>
      <c r="F154" s="34">
        <f t="shared" si="24"/>
        <v>96375</v>
      </c>
      <c r="G154" s="34">
        <f t="shared" si="24"/>
        <v>93500</v>
      </c>
      <c r="H154" s="34">
        <f t="shared" si="24"/>
        <v>100250</v>
      </c>
      <c r="I154" s="34">
        <f t="shared" si="24"/>
        <v>108875</v>
      </c>
      <c r="J154" s="34">
        <f t="shared" si="24"/>
        <v>130000</v>
      </c>
      <c r="K154" s="34">
        <f t="shared" si="24"/>
        <v>258000</v>
      </c>
      <c r="L154" s="37"/>
    </row>
    <row r="155" spans="1:12">
      <c r="A155" s="29">
        <v>126</v>
      </c>
      <c r="B155" s="29">
        <v>2</v>
      </c>
      <c r="C155" s="605">
        <v>1</v>
      </c>
      <c r="D155" s="34">
        <v>88500</v>
      </c>
      <c r="E155" s="34">
        <f t="shared" si="24"/>
        <v>88500</v>
      </c>
      <c r="F155" s="34">
        <f t="shared" si="24"/>
        <v>96900</v>
      </c>
      <c r="G155" s="34">
        <f t="shared" si="24"/>
        <v>94000</v>
      </c>
      <c r="H155" s="34">
        <f t="shared" si="24"/>
        <v>100800</v>
      </c>
      <c r="I155" s="34">
        <f t="shared" si="24"/>
        <v>109500</v>
      </c>
      <c r="J155" s="34">
        <f t="shared" si="24"/>
        <v>130800</v>
      </c>
      <c r="K155" s="34">
        <f t="shared" si="24"/>
        <v>259900</v>
      </c>
      <c r="L155" s="37"/>
    </row>
    <row r="156" spans="1:12">
      <c r="A156" s="29">
        <v>127</v>
      </c>
      <c r="B156" s="29">
        <v>2</v>
      </c>
      <c r="C156" s="605"/>
      <c r="D156" s="34"/>
      <c r="E156" s="34">
        <f t="shared" si="24"/>
        <v>89000</v>
      </c>
      <c r="F156" s="34">
        <f t="shared" si="24"/>
        <v>97425</v>
      </c>
      <c r="G156" s="34">
        <f t="shared" si="24"/>
        <v>94500</v>
      </c>
      <c r="H156" s="34">
        <f t="shared" si="24"/>
        <v>101350</v>
      </c>
      <c r="I156" s="34">
        <f t="shared" si="24"/>
        <v>110125</v>
      </c>
      <c r="J156" s="34">
        <f t="shared" si="24"/>
        <v>131600</v>
      </c>
      <c r="K156" s="34">
        <f t="shared" si="24"/>
        <v>261800</v>
      </c>
      <c r="L156" s="37"/>
    </row>
    <row r="157" spans="1:12">
      <c r="A157" s="29">
        <v>128</v>
      </c>
      <c r="B157" s="29">
        <v>2</v>
      </c>
      <c r="C157" s="605">
        <v>1</v>
      </c>
      <c r="D157" s="34">
        <v>89500</v>
      </c>
      <c r="E157" s="34">
        <f t="shared" si="24"/>
        <v>89500</v>
      </c>
      <c r="F157" s="34">
        <f t="shared" si="24"/>
        <v>97950</v>
      </c>
      <c r="G157" s="34">
        <f t="shared" si="24"/>
        <v>95000</v>
      </c>
      <c r="H157" s="34">
        <f t="shared" si="24"/>
        <v>101900</v>
      </c>
      <c r="I157" s="34">
        <f t="shared" si="24"/>
        <v>110750</v>
      </c>
      <c r="J157" s="34">
        <f t="shared" si="24"/>
        <v>132400</v>
      </c>
      <c r="K157" s="34">
        <f t="shared" si="24"/>
        <v>263700</v>
      </c>
      <c r="L157" s="37"/>
    </row>
    <row r="158" spans="1:12">
      <c r="A158" s="29">
        <v>129</v>
      </c>
      <c r="B158" s="29">
        <v>2</v>
      </c>
      <c r="C158" s="605">
        <v>2</v>
      </c>
      <c r="D158" s="34">
        <v>102397</v>
      </c>
      <c r="E158" s="34">
        <f t="shared" si="24"/>
        <v>90000</v>
      </c>
      <c r="F158" s="34">
        <f t="shared" si="24"/>
        <v>98475</v>
      </c>
      <c r="G158" s="34">
        <f t="shared" si="24"/>
        <v>95500</v>
      </c>
      <c r="H158" s="34">
        <f t="shared" si="24"/>
        <v>102450</v>
      </c>
      <c r="I158" s="34">
        <f t="shared" si="24"/>
        <v>111375</v>
      </c>
      <c r="J158" s="34">
        <f t="shared" si="24"/>
        <v>133200</v>
      </c>
      <c r="K158" s="34">
        <f t="shared" si="24"/>
        <v>265600</v>
      </c>
      <c r="L158" s="37"/>
    </row>
    <row r="159" spans="1:12">
      <c r="A159" s="29">
        <v>130</v>
      </c>
      <c r="B159" s="29">
        <v>2</v>
      </c>
      <c r="C159" s="605"/>
      <c r="D159" s="34"/>
      <c r="E159" s="34">
        <f t="shared" si="24"/>
        <v>90500</v>
      </c>
      <c r="F159" s="34">
        <f t="shared" si="24"/>
        <v>99000</v>
      </c>
      <c r="G159" s="34">
        <f t="shared" si="24"/>
        <v>96000</v>
      </c>
      <c r="H159" s="34">
        <f t="shared" si="24"/>
        <v>103000</v>
      </c>
      <c r="I159" s="34">
        <f t="shared" si="24"/>
        <v>112000</v>
      </c>
      <c r="J159" s="34">
        <f t="shared" si="24"/>
        <v>134000</v>
      </c>
      <c r="K159" s="34">
        <f t="shared" si="24"/>
        <v>267500</v>
      </c>
      <c r="L159" s="37"/>
    </row>
    <row r="160" spans="1:12">
      <c r="A160" s="29">
        <v>131</v>
      </c>
      <c r="B160" s="29">
        <v>2</v>
      </c>
      <c r="C160" s="605"/>
      <c r="D160" s="34"/>
      <c r="E160" s="34">
        <f t="shared" si="24"/>
        <v>91000</v>
      </c>
      <c r="F160" s="34">
        <f t="shared" si="24"/>
        <v>99525</v>
      </c>
      <c r="G160" s="34">
        <f t="shared" si="24"/>
        <v>96500</v>
      </c>
      <c r="H160" s="34">
        <f t="shared" si="24"/>
        <v>103550</v>
      </c>
      <c r="I160" s="34">
        <f t="shared" si="24"/>
        <v>112625</v>
      </c>
      <c r="J160" s="34">
        <f t="shared" si="24"/>
        <v>134800</v>
      </c>
      <c r="K160" s="34">
        <f t="shared" si="24"/>
        <v>269400</v>
      </c>
      <c r="L160" s="37"/>
    </row>
    <row r="161" spans="1:12">
      <c r="A161" s="29">
        <v>132</v>
      </c>
      <c r="B161" s="29">
        <v>2</v>
      </c>
      <c r="C161" s="605"/>
      <c r="D161" s="34"/>
      <c r="E161" s="34">
        <f t="shared" ref="E161:K169" si="25">+IF(E$3+(E$5*10+($A161-10)*E$6)*$B161/2&lt;E$4,E$4,E$3+(E$5*10+($A161-10)*E$6)*$B161/2)</f>
        <v>91500</v>
      </c>
      <c r="F161" s="34">
        <f t="shared" si="25"/>
        <v>100050</v>
      </c>
      <c r="G161" s="34">
        <f t="shared" si="25"/>
        <v>97000</v>
      </c>
      <c r="H161" s="34">
        <f t="shared" si="25"/>
        <v>104100</v>
      </c>
      <c r="I161" s="34">
        <f t="shared" si="25"/>
        <v>113250</v>
      </c>
      <c r="J161" s="34">
        <f t="shared" si="25"/>
        <v>135600</v>
      </c>
      <c r="K161" s="34">
        <f t="shared" si="25"/>
        <v>271300</v>
      </c>
      <c r="L161" s="37"/>
    </row>
    <row r="162" spans="1:12">
      <c r="A162" s="29">
        <v>133</v>
      </c>
      <c r="B162" s="29">
        <v>2</v>
      </c>
      <c r="C162" s="605"/>
      <c r="D162" s="34"/>
      <c r="E162" s="34">
        <f t="shared" si="25"/>
        <v>92000</v>
      </c>
      <c r="F162" s="34">
        <f t="shared" si="25"/>
        <v>100575</v>
      </c>
      <c r="G162" s="34">
        <f t="shared" si="25"/>
        <v>97500</v>
      </c>
      <c r="H162" s="34">
        <f t="shared" si="25"/>
        <v>104650</v>
      </c>
      <c r="I162" s="34">
        <f t="shared" si="25"/>
        <v>113875</v>
      </c>
      <c r="J162" s="34">
        <f t="shared" si="25"/>
        <v>136400</v>
      </c>
      <c r="K162" s="34">
        <f t="shared" si="25"/>
        <v>273200</v>
      </c>
      <c r="L162" s="37"/>
    </row>
    <row r="163" spans="1:12">
      <c r="A163" s="29">
        <v>134</v>
      </c>
      <c r="B163" s="29">
        <v>2</v>
      </c>
      <c r="C163" s="605">
        <v>1</v>
      </c>
      <c r="D163" s="34">
        <v>92500</v>
      </c>
      <c r="E163" s="34">
        <f t="shared" si="25"/>
        <v>92500</v>
      </c>
      <c r="F163" s="34">
        <f t="shared" si="25"/>
        <v>101100</v>
      </c>
      <c r="G163" s="34">
        <f t="shared" si="25"/>
        <v>98000</v>
      </c>
      <c r="H163" s="34">
        <f t="shared" si="25"/>
        <v>105200</v>
      </c>
      <c r="I163" s="34">
        <f t="shared" si="25"/>
        <v>114500</v>
      </c>
      <c r="J163" s="34">
        <f t="shared" si="25"/>
        <v>137200</v>
      </c>
      <c r="K163" s="34">
        <f t="shared" si="25"/>
        <v>275100</v>
      </c>
      <c r="L163" s="37"/>
    </row>
    <row r="164" spans="1:12">
      <c r="A164" s="29">
        <v>135</v>
      </c>
      <c r="B164" s="29">
        <v>2</v>
      </c>
      <c r="C164" s="605"/>
      <c r="D164" s="34"/>
      <c r="E164" s="34">
        <f t="shared" si="25"/>
        <v>93000</v>
      </c>
      <c r="F164" s="34">
        <f t="shared" si="25"/>
        <v>101625</v>
      </c>
      <c r="G164" s="34">
        <f t="shared" si="25"/>
        <v>98500</v>
      </c>
      <c r="H164" s="34">
        <f t="shared" si="25"/>
        <v>105750</v>
      </c>
      <c r="I164" s="34">
        <f t="shared" si="25"/>
        <v>115125</v>
      </c>
      <c r="J164" s="34">
        <f t="shared" si="25"/>
        <v>138000</v>
      </c>
      <c r="K164" s="34">
        <f t="shared" si="25"/>
        <v>277000</v>
      </c>
      <c r="L164" s="37"/>
    </row>
    <row r="165" spans="1:12">
      <c r="A165" s="29">
        <v>137</v>
      </c>
      <c r="B165" s="29">
        <v>2</v>
      </c>
      <c r="C165" s="605"/>
      <c r="D165" s="34"/>
      <c r="E165" s="34">
        <f t="shared" si="25"/>
        <v>94000</v>
      </c>
      <c r="F165" s="34">
        <f t="shared" si="25"/>
        <v>102675</v>
      </c>
      <c r="G165" s="34">
        <f t="shared" si="25"/>
        <v>99500</v>
      </c>
      <c r="H165" s="34">
        <f t="shared" si="25"/>
        <v>106850</v>
      </c>
      <c r="I165" s="34">
        <f t="shared" si="25"/>
        <v>116375</v>
      </c>
      <c r="J165" s="34">
        <f t="shared" si="25"/>
        <v>139600</v>
      </c>
      <c r="K165" s="34">
        <f t="shared" si="25"/>
        <v>280800</v>
      </c>
      <c r="L165" s="37"/>
    </row>
    <row r="166" spans="1:12">
      <c r="A166" s="29">
        <v>138</v>
      </c>
      <c r="B166" s="29">
        <v>2</v>
      </c>
      <c r="C166" s="605">
        <v>1</v>
      </c>
      <c r="D166" s="34">
        <v>94500</v>
      </c>
      <c r="E166" s="34">
        <f t="shared" si="25"/>
        <v>94500</v>
      </c>
      <c r="F166" s="34">
        <f t="shared" si="25"/>
        <v>103200</v>
      </c>
      <c r="G166" s="34">
        <f t="shared" si="25"/>
        <v>100000</v>
      </c>
      <c r="H166" s="34">
        <f t="shared" si="25"/>
        <v>107400</v>
      </c>
      <c r="I166" s="34">
        <f t="shared" si="25"/>
        <v>117000</v>
      </c>
      <c r="J166" s="34">
        <f t="shared" si="25"/>
        <v>140400</v>
      </c>
      <c r="K166" s="34">
        <f t="shared" si="25"/>
        <v>282700</v>
      </c>
      <c r="L166" s="37"/>
    </row>
    <row r="167" spans="1:12">
      <c r="A167" s="29">
        <v>139</v>
      </c>
      <c r="B167" s="29">
        <v>2</v>
      </c>
      <c r="C167" s="605"/>
      <c r="D167" s="34"/>
      <c r="E167" s="34">
        <f t="shared" si="25"/>
        <v>95000</v>
      </c>
      <c r="F167" s="34">
        <f t="shared" si="25"/>
        <v>103725</v>
      </c>
      <c r="G167" s="34">
        <f t="shared" si="25"/>
        <v>100500</v>
      </c>
      <c r="H167" s="34">
        <f t="shared" si="25"/>
        <v>107950</v>
      </c>
      <c r="I167" s="34">
        <f t="shared" si="25"/>
        <v>117625</v>
      </c>
      <c r="J167" s="34">
        <f t="shared" si="25"/>
        <v>141200</v>
      </c>
      <c r="K167" s="34">
        <f t="shared" si="25"/>
        <v>284600</v>
      </c>
      <c r="L167" s="37"/>
    </row>
    <row r="168" spans="1:12">
      <c r="A168" s="29">
        <v>140</v>
      </c>
      <c r="B168" s="29">
        <v>2</v>
      </c>
      <c r="C168" s="605"/>
      <c r="D168" s="34"/>
      <c r="E168" s="34">
        <f t="shared" si="25"/>
        <v>95500</v>
      </c>
      <c r="F168" s="34">
        <f t="shared" si="25"/>
        <v>104250</v>
      </c>
      <c r="G168" s="34">
        <f t="shared" si="25"/>
        <v>101000</v>
      </c>
      <c r="H168" s="34">
        <f t="shared" si="25"/>
        <v>108500</v>
      </c>
      <c r="I168" s="34">
        <f t="shared" si="25"/>
        <v>118250</v>
      </c>
      <c r="J168" s="34">
        <f t="shared" si="25"/>
        <v>142000</v>
      </c>
      <c r="K168" s="34">
        <f t="shared" si="25"/>
        <v>286500</v>
      </c>
      <c r="L168" s="37"/>
    </row>
    <row r="169" spans="1:12">
      <c r="A169" s="29">
        <v>141</v>
      </c>
      <c r="B169" s="29">
        <v>2</v>
      </c>
      <c r="C169" s="605"/>
      <c r="D169" s="34"/>
      <c r="E169" s="34">
        <f t="shared" si="25"/>
        <v>96000</v>
      </c>
      <c r="F169" s="34">
        <f t="shared" si="25"/>
        <v>104775</v>
      </c>
      <c r="G169" s="34">
        <f t="shared" si="25"/>
        <v>101500</v>
      </c>
      <c r="H169" s="34">
        <f t="shared" si="25"/>
        <v>109050</v>
      </c>
      <c r="I169" s="34">
        <f t="shared" si="25"/>
        <v>118875</v>
      </c>
      <c r="J169" s="34">
        <f t="shared" si="25"/>
        <v>142800</v>
      </c>
      <c r="K169" s="34">
        <f t="shared" si="25"/>
        <v>288400</v>
      </c>
      <c r="L169" s="37"/>
    </row>
    <row r="170" spans="1:12">
      <c r="A170" s="29">
        <v>142</v>
      </c>
      <c r="B170" s="29">
        <v>2</v>
      </c>
      <c r="C170" s="605"/>
      <c r="D170" s="34"/>
      <c r="E170" s="34">
        <f t="shared" ref="E170:E188" si="26">+IF(E$3+(E$5*10+($A170-25)*E$6)*$B170/2&lt;E$4,E$4,E$3+(E$5*10+($A170-25)*E$6)*$B170/2)</f>
        <v>89000</v>
      </c>
      <c r="F170" s="34">
        <f t="shared" ref="F170:K179" si="27">+IF(F$3+(F$5*10+($A170-10)*F$6)*$B170/2&lt;F$4,F$4,F$3+(F$5*10+($A170-10)*F$6)*$B170/2)</f>
        <v>105300</v>
      </c>
      <c r="G170" s="34">
        <f t="shared" si="27"/>
        <v>102000</v>
      </c>
      <c r="H170" s="34">
        <f t="shared" si="27"/>
        <v>109600</v>
      </c>
      <c r="I170" s="34">
        <f t="shared" si="27"/>
        <v>119500</v>
      </c>
      <c r="J170" s="34">
        <f t="shared" si="27"/>
        <v>143600</v>
      </c>
      <c r="K170" s="34">
        <f t="shared" si="27"/>
        <v>290300</v>
      </c>
      <c r="L170" s="37"/>
    </row>
    <row r="171" spans="1:12">
      <c r="A171" s="29">
        <v>143</v>
      </c>
      <c r="B171" s="29">
        <v>2</v>
      </c>
      <c r="C171" s="605"/>
      <c r="D171" s="34"/>
      <c r="E171" s="34">
        <f t="shared" si="26"/>
        <v>89500</v>
      </c>
      <c r="F171" s="34">
        <f t="shared" si="27"/>
        <v>105825</v>
      </c>
      <c r="G171" s="34">
        <f t="shared" si="27"/>
        <v>102500</v>
      </c>
      <c r="H171" s="34">
        <f t="shared" si="27"/>
        <v>110150</v>
      </c>
      <c r="I171" s="34">
        <f t="shared" si="27"/>
        <v>120125</v>
      </c>
      <c r="J171" s="34">
        <f t="shared" si="27"/>
        <v>144400</v>
      </c>
      <c r="K171" s="34">
        <f t="shared" si="27"/>
        <v>292200</v>
      </c>
      <c r="L171" s="37"/>
    </row>
    <row r="172" spans="1:12">
      <c r="A172" s="29">
        <v>144</v>
      </c>
      <c r="B172" s="29">
        <v>2</v>
      </c>
      <c r="C172" s="605"/>
      <c r="D172" s="34"/>
      <c r="E172" s="34">
        <f t="shared" si="26"/>
        <v>90000</v>
      </c>
      <c r="F172" s="34">
        <f t="shared" si="27"/>
        <v>106350</v>
      </c>
      <c r="G172" s="34">
        <f t="shared" si="27"/>
        <v>103000</v>
      </c>
      <c r="H172" s="34">
        <f t="shared" si="27"/>
        <v>110700</v>
      </c>
      <c r="I172" s="34">
        <f t="shared" si="27"/>
        <v>120750</v>
      </c>
      <c r="J172" s="34">
        <f t="shared" si="27"/>
        <v>145200</v>
      </c>
      <c r="K172" s="34">
        <f t="shared" si="27"/>
        <v>294100</v>
      </c>
      <c r="L172" s="37"/>
    </row>
    <row r="173" spans="1:12">
      <c r="A173" s="29">
        <v>145</v>
      </c>
      <c r="B173" s="29">
        <v>2</v>
      </c>
      <c r="C173" s="605">
        <v>1</v>
      </c>
      <c r="D173" s="34">
        <v>98000</v>
      </c>
      <c r="E173" s="34">
        <f t="shared" si="26"/>
        <v>90500</v>
      </c>
      <c r="F173" s="34">
        <f t="shared" si="27"/>
        <v>106875</v>
      </c>
      <c r="G173" s="34">
        <f t="shared" si="27"/>
        <v>103500</v>
      </c>
      <c r="H173" s="34">
        <f t="shared" si="27"/>
        <v>111250</v>
      </c>
      <c r="I173" s="34">
        <f t="shared" si="27"/>
        <v>121375</v>
      </c>
      <c r="J173" s="34">
        <f t="shared" si="27"/>
        <v>146000</v>
      </c>
      <c r="K173" s="34">
        <f t="shared" si="27"/>
        <v>296000</v>
      </c>
      <c r="L173" s="37"/>
    </row>
    <row r="174" spans="1:12">
      <c r="A174" s="29">
        <v>146</v>
      </c>
      <c r="B174" s="29">
        <v>2</v>
      </c>
      <c r="C174" s="605"/>
      <c r="D174" s="34"/>
      <c r="E174" s="34">
        <f t="shared" si="26"/>
        <v>91000</v>
      </c>
      <c r="F174" s="34">
        <f t="shared" si="27"/>
        <v>107400</v>
      </c>
      <c r="G174" s="34">
        <f t="shared" si="27"/>
        <v>104000</v>
      </c>
      <c r="H174" s="34">
        <f t="shared" si="27"/>
        <v>111800</v>
      </c>
      <c r="I174" s="34">
        <f t="shared" si="27"/>
        <v>122000</v>
      </c>
      <c r="J174" s="34">
        <f t="shared" si="27"/>
        <v>146800</v>
      </c>
      <c r="K174" s="34">
        <f t="shared" si="27"/>
        <v>297900</v>
      </c>
      <c r="L174" s="37"/>
    </row>
    <row r="175" spans="1:12">
      <c r="A175" s="29">
        <v>147</v>
      </c>
      <c r="B175" s="29">
        <v>2</v>
      </c>
      <c r="C175" s="605">
        <v>1</v>
      </c>
      <c r="D175" s="34">
        <v>99000</v>
      </c>
      <c r="E175" s="34">
        <f t="shared" si="26"/>
        <v>91500</v>
      </c>
      <c r="F175" s="34">
        <f t="shared" si="27"/>
        <v>107925</v>
      </c>
      <c r="G175" s="34">
        <f t="shared" si="27"/>
        <v>104500</v>
      </c>
      <c r="H175" s="34">
        <f t="shared" si="27"/>
        <v>112350</v>
      </c>
      <c r="I175" s="34">
        <f t="shared" si="27"/>
        <v>122625</v>
      </c>
      <c r="J175" s="34">
        <f t="shared" si="27"/>
        <v>147600</v>
      </c>
      <c r="K175" s="34">
        <f t="shared" si="27"/>
        <v>299800</v>
      </c>
      <c r="L175" s="37"/>
    </row>
    <row r="176" spans="1:12">
      <c r="A176" s="29">
        <v>148</v>
      </c>
      <c r="B176" s="29">
        <v>2</v>
      </c>
      <c r="C176" s="605"/>
      <c r="D176" s="34"/>
      <c r="E176" s="34">
        <f t="shared" si="26"/>
        <v>92000</v>
      </c>
      <c r="F176" s="34">
        <f t="shared" si="27"/>
        <v>108450</v>
      </c>
      <c r="G176" s="34">
        <f t="shared" si="27"/>
        <v>105000</v>
      </c>
      <c r="H176" s="34">
        <f t="shared" si="27"/>
        <v>112900</v>
      </c>
      <c r="I176" s="34">
        <f t="shared" si="27"/>
        <v>123250</v>
      </c>
      <c r="J176" s="34">
        <f t="shared" si="27"/>
        <v>148400</v>
      </c>
      <c r="K176" s="34">
        <f t="shared" si="27"/>
        <v>301700</v>
      </c>
      <c r="L176" s="37"/>
    </row>
    <row r="177" spans="1:12">
      <c r="A177" s="29">
        <v>150</v>
      </c>
      <c r="B177" s="29">
        <v>2</v>
      </c>
      <c r="C177" s="605"/>
      <c r="D177" s="34"/>
      <c r="E177" s="34">
        <f t="shared" si="26"/>
        <v>93000</v>
      </c>
      <c r="F177" s="34">
        <f t="shared" si="27"/>
        <v>109500</v>
      </c>
      <c r="G177" s="34">
        <f t="shared" si="27"/>
        <v>106000</v>
      </c>
      <c r="H177" s="34">
        <f t="shared" si="27"/>
        <v>114000</v>
      </c>
      <c r="I177" s="34">
        <f t="shared" si="27"/>
        <v>124500</v>
      </c>
      <c r="J177" s="34">
        <f t="shared" si="27"/>
        <v>150000</v>
      </c>
      <c r="K177" s="34">
        <f t="shared" si="27"/>
        <v>305500</v>
      </c>
      <c r="L177" s="37"/>
    </row>
    <row r="178" spans="1:12">
      <c r="A178" s="29">
        <v>151</v>
      </c>
      <c r="B178" s="29">
        <v>2</v>
      </c>
      <c r="C178" s="605"/>
      <c r="D178" s="34"/>
      <c r="E178" s="34">
        <f t="shared" si="26"/>
        <v>93500</v>
      </c>
      <c r="F178" s="34">
        <f t="shared" si="27"/>
        <v>110025</v>
      </c>
      <c r="G178" s="34">
        <f t="shared" si="27"/>
        <v>106500</v>
      </c>
      <c r="H178" s="34">
        <f t="shared" si="27"/>
        <v>114550</v>
      </c>
      <c r="I178" s="34">
        <f t="shared" si="27"/>
        <v>125125</v>
      </c>
      <c r="J178" s="34">
        <f t="shared" si="27"/>
        <v>150800</v>
      </c>
      <c r="K178" s="34">
        <f t="shared" si="27"/>
        <v>307400</v>
      </c>
      <c r="L178" s="37"/>
    </row>
    <row r="179" spans="1:12">
      <c r="A179" s="29">
        <v>152</v>
      </c>
      <c r="B179" s="29">
        <v>2</v>
      </c>
      <c r="C179" s="605">
        <v>1</v>
      </c>
      <c r="D179" s="34">
        <v>101500</v>
      </c>
      <c r="E179" s="34">
        <f t="shared" si="26"/>
        <v>94000</v>
      </c>
      <c r="F179" s="34">
        <f t="shared" si="27"/>
        <v>110550</v>
      </c>
      <c r="G179" s="34">
        <f t="shared" si="27"/>
        <v>107000</v>
      </c>
      <c r="H179" s="34">
        <f t="shared" si="27"/>
        <v>115100</v>
      </c>
      <c r="I179" s="34">
        <f t="shared" si="27"/>
        <v>125750</v>
      </c>
      <c r="J179" s="34">
        <f t="shared" si="27"/>
        <v>151600</v>
      </c>
      <c r="K179" s="34">
        <f t="shared" si="27"/>
        <v>309300</v>
      </c>
      <c r="L179" s="37"/>
    </row>
    <row r="180" spans="1:12">
      <c r="A180" s="29">
        <v>153</v>
      </c>
      <c r="B180" s="29">
        <v>2</v>
      </c>
      <c r="C180" s="605"/>
      <c r="D180" s="34"/>
      <c r="E180" s="34">
        <f t="shared" si="26"/>
        <v>94500</v>
      </c>
      <c r="F180" s="34">
        <f t="shared" ref="F180:K188" si="28">+IF(F$3+(F$5*10+($A180-10)*F$6)*$B180/2&lt;F$4,F$4,F$3+(F$5*10+($A180-10)*F$6)*$B180/2)</f>
        <v>111075</v>
      </c>
      <c r="G180" s="34">
        <f t="shared" si="28"/>
        <v>107500</v>
      </c>
      <c r="H180" s="34">
        <f t="shared" si="28"/>
        <v>115650</v>
      </c>
      <c r="I180" s="34">
        <f t="shared" si="28"/>
        <v>126375</v>
      </c>
      <c r="J180" s="34">
        <f t="shared" si="28"/>
        <v>152400</v>
      </c>
      <c r="K180" s="34">
        <f t="shared" si="28"/>
        <v>311200</v>
      </c>
      <c r="L180" s="37"/>
    </row>
    <row r="181" spans="1:12">
      <c r="A181" s="29">
        <v>155</v>
      </c>
      <c r="B181" s="29">
        <v>2</v>
      </c>
      <c r="C181" s="605"/>
      <c r="D181" s="34"/>
      <c r="E181" s="34">
        <f t="shared" si="26"/>
        <v>95500</v>
      </c>
      <c r="F181" s="34">
        <f t="shared" si="28"/>
        <v>112125</v>
      </c>
      <c r="G181" s="34">
        <f t="shared" si="28"/>
        <v>108500</v>
      </c>
      <c r="H181" s="34">
        <f t="shared" si="28"/>
        <v>116750</v>
      </c>
      <c r="I181" s="34">
        <f t="shared" si="28"/>
        <v>127625</v>
      </c>
      <c r="J181" s="34">
        <f t="shared" si="28"/>
        <v>154000</v>
      </c>
      <c r="K181" s="34">
        <f t="shared" si="28"/>
        <v>315000</v>
      </c>
      <c r="L181" s="37"/>
    </row>
    <row r="182" spans="1:12">
      <c r="A182" s="29">
        <v>156</v>
      </c>
      <c r="B182" s="29">
        <v>2</v>
      </c>
      <c r="C182" s="605"/>
      <c r="D182" s="34"/>
      <c r="E182" s="34">
        <f t="shared" si="26"/>
        <v>96000</v>
      </c>
      <c r="F182" s="34">
        <f t="shared" si="28"/>
        <v>112650</v>
      </c>
      <c r="G182" s="34">
        <f t="shared" si="28"/>
        <v>109000</v>
      </c>
      <c r="H182" s="34">
        <f t="shared" si="28"/>
        <v>117300</v>
      </c>
      <c r="I182" s="34">
        <f t="shared" si="28"/>
        <v>128250</v>
      </c>
      <c r="J182" s="34">
        <f t="shared" si="28"/>
        <v>154800</v>
      </c>
      <c r="K182" s="34">
        <f t="shared" si="28"/>
        <v>316900</v>
      </c>
      <c r="L182" s="37"/>
    </row>
    <row r="183" spans="1:12">
      <c r="A183" s="29">
        <v>157</v>
      </c>
      <c r="B183" s="29">
        <v>2</v>
      </c>
      <c r="C183" s="605"/>
      <c r="D183" s="34"/>
      <c r="E183" s="34">
        <f t="shared" si="26"/>
        <v>96500</v>
      </c>
      <c r="F183" s="34">
        <f t="shared" si="28"/>
        <v>113175</v>
      </c>
      <c r="G183" s="34">
        <f t="shared" si="28"/>
        <v>109500</v>
      </c>
      <c r="H183" s="34">
        <f t="shared" si="28"/>
        <v>117850</v>
      </c>
      <c r="I183" s="34">
        <f t="shared" si="28"/>
        <v>128875</v>
      </c>
      <c r="J183" s="34">
        <f t="shared" si="28"/>
        <v>155600</v>
      </c>
      <c r="K183" s="34">
        <f t="shared" si="28"/>
        <v>318800</v>
      </c>
      <c r="L183" s="37"/>
    </row>
    <row r="184" spans="1:12">
      <c r="A184" s="29">
        <v>158</v>
      </c>
      <c r="B184" s="29">
        <v>2</v>
      </c>
      <c r="C184" s="605">
        <v>1</v>
      </c>
      <c r="D184" s="34">
        <v>104500</v>
      </c>
      <c r="E184" s="34">
        <f t="shared" si="26"/>
        <v>97000</v>
      </c>
      <c r="F184" s="34">
        <f t="shared" si="28"/>
        <v>113700</v>
      </c>
      <c r="G184" s="34">
        <f t="shared" si="28"/>
        <v>110000</v>
      </c>
      <c r="H184" s="34">
        <f t="shared" si="28"/>
        <v>118400</v>
      </c>
      <c r="I184" s="34">
        <f t="shared" si="28"/>
        <v>129500</v>
      </c>
      <c r="J184" s="34">
        <f t="shared" si="28"/>
        <v>156400</v>
      </c>
      <c r="K184" s="34">
        <f t="shared" si="28"/>
        <v>320700</v>
      </c>
      <c r="L184" s="37"/>
    </row>
    <row r="185" spans="1:12">
      <c r="A185" s="29">
        <v>159</v>
      </c>
      <c r="B185" s="29">
        <v>2</v>
      </c>
      <c r="C185" s="605"/>
      <c r="D185" s="34"/>
      <c r="E185" s="34">
        <f t="shared" si="26"/>
        <v>97500</v>
      </c>
      <c r="F185" s="34">
        <f t="shared" si="28"/>
        <v>114225</v>
      </c>
      <c r="G185" s="34">
        <f t="shared" si="28"/>
        <v>110500</v>
      </c>
      <c r="H185" s="34">
        <f t="shared" si="28"/>
        <v>118950</v>
      </c>
      <c r="I185" s="34">
        <f t="shared" si="28"/>
        <v>130125</v>
      </c>
      <c r="J185" s="34">
        <f t="shared" si="28"/>
        <v>157200</v>
      </c>
      <c r="K185" s="34">
        <f t="shared" si="28"/>
        <v>322600</v>
      </c>
      <c r="L185" s="37"/>
    </row>
    <row r="186" spans="1:12">
      <c r="A186" s="29">
        <v>160</v>
      </c>
      <c r="B186" s="29">
        <v>2</v>
      </c>
      <c r="C186" s="605"/>
      <c r="D186" s="34"/>
      <c r="E186" s="34">
        <f t="shared" si="26"/>
        <v>98000</v>
      </c>
      <c r="F186" s="34">
        <f t="shared" si="28"/>
        <v>114750</v>
      </c>
      <c r="G186" s="34">
        <f t="shared" si="28"/>
        <v>111000</v>
      </c>
      <c r="H186" s="34">
        <f t="shared" si="28"/>
        <v>119500</v>
      </c>
      <c r="I186" s="34">
        <f t="shared" si="28"/>
        <v>130750</v>
      </c>
      <c r="J186" s="34">
        <f t="shared" si="28"/>
        <v>158000</v>
      </c>
      <c r="K186" s="34">
        <f t="shared" si="28"/>
        <v>324500</v>
      </c>
      <c r="L186" s="37"/>
    </row>
    <row r="187" spans="1:12">
      <c r="A187" s="29">
        <v>165</v>
      </c>
      <c r="B187" s="29">
        <v>2</v>
      </c>
      <c r="C187" s="605">
        <v>1</v>
      </c>
      <c r="D187" s="34">
        <v>108000</v>
      </c>
      <c r="E187" s="34">
        <f t="shared" si="26"/>
        <v>100500</v>
      </c>
      <c r="F187" s="34">
        <f t="shared" si="28"/>
        <v>117375</v>
      </c>
      <c r="G187" s="34">
        <f t="shared" si="28"/>
        <v>113500</v>
      </c>
      <c r="H187" s="34">
        <f t="shared" si="28"/>
        <v>122250</v>
      </c>
      <c r="I187" s="34">
        <f t="shared" si="28"/>
        <v>133875</v>
      </c>
      <c r="J187" s="34">
        <f t="shared" si="28"/>
        <v>162000</v>
      </c>
      <c r="K187" s="34">
        <f t="shared" si="28"/>
        <v>334000</v>
      </c>
      <c r="L187" s="37"/>
    </row>
    <row r="188" spans="1:12">
      <c r="A188" s="29">
        <v>167</v>
      </c>
      <c r="B188" s="29">
        <v>2</v>
      </c>
      <c r="C188" s="605">
        <v>1</v>
      </c>
      <c r="D188" s="34">
        <v>109000</v>
      </c>
      <c r="E188" s="34">
        <f t="shared" si="26"/>
        <v>101500</v>
      </c>
      <c r="F188" s="34">
        <f t="shared" si="28"/>
        <v>118425</v>
      </c>
      <c r="G188" s="34">
        <f t="shared" si="28"/>
        <v>114500</v>
      </c>
      <c r="H188" s="34">
        <f t="shared" si="28"/>
        <v>123350</v>
      </c>
      <c r="I188" s="34">
        <f t="shared" si="28"/>
        <v>135125</v>
      </c>
      <c r="J188" s="34">
        <f t="shared" si="28"/>
        <v>163600</v>
      </c>
      <c r="K188" s="34">
        <f t="shared" si="28"/>
        <v>337800</v>
      </c>
      <c r="L188" s="37"/>
    </row>
    <row r="189" spans="1:12">
      <c r="A189" s="47"/>
      <c r="B189" s="35"/>
      <c r="C189" s="237">
        <v>6144</v>
      </c>
      <c r="D189" s="35"/>
    </row>
    <row r="190" spans="1:12">
      <c r="C190" s="39">
        <f>SUM(C30:C188)</f>
        <v>6664</v>
      </c>
      <c r="D190" s="39">
        <v>31179.40576171875</v>
      </c>
      <c r="E190" s="208">
        <f>+SUMPRODUCT(E30:E188,$C$30:$C$188)/$C$190</f>
        <v>34903.804021608645</v>
      </c>
      <c r="F190" s="39">
        <f t="shared" ref="F190:K190" si="29">+SUMPRODUCT(F30:F188,$C$30:$C$188)/$C$190</f>
        <v>42213.177258403361</v>
      </c>
      <c r="G190" s="39">
        <f t="shared" si="29"/>
        <v>41917.311674669865</v>
      </c>
      <c r="H190" s="39">
        <f t="shared" si="29"/>
        <v>43509.042842136856</v>
      </c>
      <c r="I190" s="39">
        <f t="shared" si="29"/>
        <v>44396.639593337335</v>
      </c>
      <c r="J190" s="39">
        <f t="shared" si="29"/>
        <v>47467.698679471789</v>
      </c>
      <c r="K190" s="39">
        <f t="shared" si="29"/>
        <v>61985.784363745501</v>
      </c>
      <c r="L190" s="238"/>
    </row>
    <row r="192" spans="1:12">
      <c r="E192" s="38"/>
      <c r="F192" s="38"/>
    </row>
  </sheetData>
  <mergeCells count="1">
    <mergeCell ref="C28:D28"/>
  </mergeCells>
  <conditionalFormatting sqref="L21:L25">
    <cfRule type="colorScale" priority="16">
      <colorScale>
        <cfvo type="min"/>
        <cfvo type="max"/>
        <color rgb="FFFFEF9C"/>
        <color rgb="FF63BE7B"/>
      </colorScale>
    </cfRule>
  </conditionalFormatting>
  <conditionalFormatting sqref="L21:L25">
    <cfRule type="colorScale" priority="14">
      <colorScale>
        <cfvo type="min"/>
        <cfvo type="max"/>
        <color rgb="FFFFEF9C"/>
        <color rgb="FF63BE7B"/>
      </colorScale>
    </cfRule>
  </conditionalFormatting>
  <conditionalFormatting sqref="G13:H17">
    <cfRule type="colorScale" priority="9">
      <colorScale>
        <cfvo type="min"/>
        <cfvo type="percentile" val="50"/>
        <cfvo type="max"/>
        <color rgb="FFF8696B"/>
        <color rgb="FFFFEB84"/>
        <color rgb="FF63BE7B"/>
      </colorScale>
    </cfRule>
  </conditionalFormatting>
  <conditionalFormatting sqref="G21:H25">
    <cfRule type="colorScale" priority="8">
      <colorScale>
        <cfvo type="min"/>
        <cfvo type="percentile" val="50"/>
        <cfvo type="max"/>
        <color rgb="FFF8696B"/>
        <color rgb="FFFFEB84"/>
        <color rgb="FF63BE7B"/>
      </colorScale>
    </cfRule>
  </conditionalFormatting>
  <conditionalFormatting sqref="G13:J17">
    <cfRule type="colorScale" priority="7">
      <colorScale>
        <cfvo type="min"/>
        <cfvo type="percentile" val="50"/>
        <cfvo type="max"/>
        <color rgb="FFF8696B"/>
        <color rgb="FFFFEB84"/>
        <color rgb="FF63BE7B"/>
      </colorScale>
    </cfRule>
  </conditionalFormatting>
  <conditionalFormatting sqref="I21:J25">
    <cfRule type="colorScale" priority="6">
      <colorScale>
        <cfvo type="min"/>
        <cfvo type="percentile" val="50"/>
        <cfvo type="max"/>
        <color rgb="FFF8696B"/>
        <color rgb="FFFFEB84"/>
        <color rgb="FF63BE7B"/>
      </colorScale>
    </cfRule>
  </conditionalFormatting>
  <conditionalFormatting sqref="K21:K25">
    <cfRule type="colorScale" priority="4">
      <colorScale>
        <cfvo type="min"/>
        <cfvo type="max"/>
        <color rgb="FFFFEF9C"/>
        <color rgb="FF63BE7B"/>
      </colorScale>
    </cfRule>
  </conditionalFormatting>
  <conditionalFormatting sqref="K13:K17">
    <cfRule type="colorScale" priority="1">
      <colorScale>
        <cfvo type="min"/>
        <cfvo type="percentile" val="50"/>
        <cfvo type="max"/>
        <color rgb="FFF8696B"/>
        <color rgb="FFFFEB84"/>
        <color rgb="FF63BE7B"/>
      </colorScale>
    </cfRule>
  </conditionalFormatting>
  <pageMargins left="0" right="0" top="0" bottom="0" header="0.31496062992126" footer="0.31496062992126"/>
  <pageSetup paperSize="9" scale="70"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9"/>
  <sheetViews>
    <sheetView workbookViewId="0">
      <selection activeCell="K8" sqref="K8"/>
    </sheetView>
  </sheetViews>
  <sheetFormatPr defaultColWidth="8.85546875" defaultRowHeight="17.25" outlineLevelRow="1"/>
  <cols>
    <col min="1" max="1" width="8.7109375" style="23" customWidth="1"/>
    <col min="2" max="2" width="9.140625" style="23" customWidth="1"/>
    <col min="3" max="3" width="10.140625" style="23" customWidth="1"/>
    <col min="4" max="4" width="13.7109375" style="24" customWidth="1"/>
    <col min="5" max="5" width="15" style="23" bestFit="1" customWidth="1"/>
    <col min="6" max="6" width="15" style="23" customWidth="1"/>
    <col min="7" max="7" width="12.7109375" style="23" bestFit="1" customWidth="1"/>
    <col min="8" max="8" width="12.5703125" style="23" customWidth="1"/>
    <col min="9" max="10" width="13.140625" style="23" bestFit="1" customWidth="1"/>
    <col min="11" max="11" width="13.28515625" style="23" bestFit="1" customWidth="1"/>
    <col min="12" max="12" width="13.42578125" style="23" bestFit="1" customWidth="1"/>
    <col min="13" max="16384" width="8.85546875" style="23"/>
  </cols>
  <sheetData>
    <row r="1" spans="1:11">
      <c r="A1" s="23" t="s">
        <v>253</v>
      </c>
      <c r="E1" s="363">
        <f>+ընդհանուր!F6</f>
        <v>6</v>
      </c>
      <c r="F1" s="363">
        <f>+ընդհանուր!G6</f>
        <v>6</v>
      </c>
      <c r="G1" s="363">
        <f>+ընդհանուր!H6</f>
        <v>6</v>
      </c>
      <c r="H1" s="363">
        <f>+ընդհանուր!I6</f>
        <v>6</v>
      </c>
      <c r="I1" s="363">
        <f>+ընդհանուր!J6</f>
        <v>6</v>
      </c>
      <c r="J1" s="363">
        <f>+ընդհանուր!K6</f>
        <v>6</v>
      </c>
      <c r="K1" s="23">
        <v>12</v>
      </c>
    </row>
    <row r="2" spans="1:11" ht="34.5">
      <c r="C2" s="26"/>
      <c r="D2" s="26"/>
      <c r="E2" s="354" t="s">
        <v>217</v>
      </c>
      <c r="F2" s="354" t="s">
        <v>218</v>
      </c>
      <c r="G2" s="354" t="s">
        <v>219</v>
      </c>
      <c r="H2" s="354" t="s">
        <v>220</v>
      </c>
      <c r="I2" s="354" t="s">
        <v>221</v>
      </c>
      <c r="J2" s="354" t="s">
        <v>222</v>
      </c>
      <c r="K2" s="223">
        <v>2026</v>
      </c>
    </row>
    <row r="3" spans="1:11">
      <c r="C3" s="26" t="s">
        <v>22</v>
      </c>
      <c r="D3" s="26"/>
      <c r="E3" s="41">
        <f>+ընդհանուր!E10</f>
        <v>21000</v>
      </c>
      <c r="F3" s="41">
        <f>+ընդհանուր!F10</f>
        <v>36000</v>
      </c>
      <c r="G3" s="41">
        <f>+ընդհանուր!G10</f>
        <v>36000</v>
      </c>
      <c r="H3" s="41">
        <f>+ընդհանուր!H10</f>
        <v>37000</v>
      </c>
      <c r="I3" s="41">
        <f>+ընդհանուր!I10</f>
        <v>37000</v>
      </c>
      <c r="J3" s="41">
        <f>+ընդհանուր!J10</f>
        <v>38000</v>
      </c>
      <c r="K3" s="41">
        <f>+ընդհանուր!K10</f>
        <v>39500</v>
      </c>
    </row>
    <row r="4" spans="1:11">
      <c r="C4" s="26" t="s">
        <v>23</v>
      </c>
      <c r="D4" s="26"/>
      <c r="E4" s="41">
        <f>+ընդհանուր!E11</f>
        <v>31600</v>
      </c>
      <c r="F4" s="41">
        <f>+ընդհանուր!F11</f>
        <v>0</v>
      </c>
      <c r="G4" s="41">
        <f>+ընդհանուր!G11</f>
        <v>0</v>
      </c>
      <c r="H4" s="41">
        <f>+ընդհանուր!H11</f>
        <v>0</v>
      </c>
      <c r="I4" s="41">
        <f>+ընդհանուր!I11</f>
        <v>0</v>
      </c>
      <c r="J4" s="41">
        <f>+ընդհանուր!J11</f>
        <v>0</v>
      </c>
      <c r="K4" s="41">
        <f>+ընդհանուր!K11</f>
        <v>0</v>
      </c>
    </row>
    <row r="5" spans="1:11">
      <c r="C5" s="26" t="s">
        <v>24</v>
      </c>
      <c r="D5" s="26"/>
      <c r="E5" s="41">
        <f>+ընդհանուր!E16</f>
        <v>950</v>
      </c>
      <c r="F5" s="41">
        <f>+ընդհանուր!F16</f>
        <v>0</v>
      </c>
      <c r="G5" s="41">
        <f>+ընդհանուր!G16</f>
        <v>0</v>
      </c>
      <c r="H5" s="41">
        <f>+ընդհանուր!H16</f>
        <v>0</v>
      </c>
      <c r="I5" s="41">
        <f>+ընդհանուր!I16</f>
        <v>0</v>
      </c>
      <c r="J5" s="41">
        <f>+ընդհանուր!J16</f>
        <v>0</v>
      </c>
      <c r="K5" s="41">
        <f>+ընդհանուր!K16</f>
        <v>0</v>
      </c>
    </row>
    <row r="6" spans="1:11">
      <c r="C6" s="26" t="s">
        <v>25</v>
      </c>
      <c r="D6" s="26"/>
      <c r="E6" s="41">
        <f>+ընդհանուր!E17</f>
        <v>500</v>
      </c>
      <c r="F6" s="41">
        <f>+ընդհանուր!F17</f>
        <v>525</v>
      </c>
      <c r="G6" s="41">
        <f>+ընդհանուր!G17</f>
        <v>500</v>
      </c>
      <c r="H6" s="41">
        <f>+ընդհանուր!H17</f>
        <v>550</v>
      </c>
      <c r="I6" s="41">
        <f>+ընդհանուր!I17</f>
        <v>625</v>
      </c>
      <c r="J6" s="41">
        <f>+ընդհանուր!J17</f>
        <v>800</v>
      </c>
      <c r="K6" s="41">
        <f>+ընդհանուր!K17</f>
        <v>1900</v>
      </c>
    </row>
    <row r="7" spans="1:11">
      <c r="C7" s="26" t="s">
        <v>183</v>
      </c>
      <c r="D7" s="26"/>
      <c r="E7" s="239">
        <f>+ընդհանուր!E18</f>
        <v>5</v>
      </c>
      <c r="F7" s="239">
        <f>+ընդհանուր!F18</f>
        <v>2.95</v>
      </c>
      <c r="G7" s="239">
        <f>+ընդհանուր!G18</f>
        <v>2.95</v>
      </c>
      <c r="H7" s="239">
        <f>+ընդհանուր!H18</f>
        <v>2.9</v>
      </c>
      <c r="I7" s="239">
        <f>+ընդհանուր!I18</f>
        <v>2.9</v>
      </c>
      <c r="J7" s="239">
        <f>+ընդհանուր!J18</f>
        <v>2.85</v>
      </c>
      <c r="K7" s="239">
        <f>+ընդհանուր!K18</f>
        <v>2.8</v>
      </c>
    </row>
    <row r="8" spans="1:11">
      <c r="C8" s="25" t="s">
        <v>155</v>
      </c>
      <c r="D8" s="23"/>
      <c r="E8" s="616">
        <f>SUMPRODUCT($C31:$C103,E31:E103)*E1/1000000000</f>
        <v>7.76868E-2</v>
      </c>
      <c r="F8" s="616">
        <f t="shared" ref="F8:K8" si="0">SUMPRODUCT($C31:$C103,F31:F103)*F1/1000000000</f>
        <v>7.5055410000000003E-2</v>
      </c>
      <c r="G8" s="616">
        <f t="shared" si="0"/>
        <v>7.4849399999999996E-2</v>
      </c>
      <c r="H8" s="616">
        <f t="shared" si="0"/>
        <v>7.5994019999999995E-2</v>
      </c>
      <c r="I8" s="616">
        <f t="shared" si="0"/>
        <v>7.6612050000000001E-2</v>
      </c>
      <c r="J8" s="616">
        <f t="shared" si="0"/>
        <v>7.8720120000000005E-2</v>
      </c>
      <c r="K8" s="616">
        <f t="shared" si="0"/>
        <v>0.17863271999999999</v>
      </c>
    </row>
    <row r="9" spans="1:11">
      <c r="C9" s="25" t="s">
        <v>154</v>
      </c>
      <c r="D9" s="23"/>
    </row>
    <row r="10" spans="1:11" hidden="1" outlineLevel="1">
      <c r="B10" s="47"/>
      <c r="I10" s="37"/>
      <c r="J10" s="37"/>
      <c r="K10" s="37"/>
    </row>
    <row r="11" spans="1:11" hidden="1" outlineLevel="1">
      <c r="B11" s="47"/>
      <c r="D11" s="23"/>
      <c r="E11" s="195"/>
      <c r="F11" s="195"/>
      <c r="G11" s="195"/>
      <c r="H11" s="195"/>
      <c r="I11" s="195"/>
      <c r="J11" s="195"/>
      <c r="K11" s="195"/>
    </row>
    <row r="12" spans="1:11" hidden="1" outlineLevel="1">
      <c r="B12" s="47"/>
      <c r="D12" s="201" t="s">
        <v>178</v>
      </c>
      <c r="E12" s="200" t="s">
        <v>189</v>
      </c>
      <c r="F12" s="200"/>
      <c r="G12" s="236" t="s">
        <v>181</v>
      </c>
      <c r="H12" s="236"/>
      <c r="I12" s="236" t="s">
        <v>181</v>
      </c>
      <c r="J12" s="236"/>
      <c r="K12" s="236" t="s">
        <v>181</v>
      </c>
    </row>
    <row r="13" spans="1:11" hidden="1" outlineLevel="1">
      <c r="B13" s="47"/>
      <c r="D13" s="202" t="s">
        <v>180</v>
      </c>
      <c r="E13" s="203">
        <f>SUMPRODUCT($C31:$C51,E31:E51)/SUM($C31:$C51)</f>
        <v>111618.89705882352</v>
      </c>
      <c r="F13" s="203"/>
      <c r="G13" s="214" t="e">
        <f>+#REF!/#REF!-1</f>
        <v>#REF!</v>
      </c>
      <c r="H13" s="214"/>
      <c r="I13" s="214" t="e">
        <f>+#REF!/#REF!-1</f>
        <v>#REF!</v>
      </c>
      <c r="J13" s="214"/>
      <c r="K13" s="214" t="e">
        <f>+E13/#REF!-1</f>
        <v>#REF!</v>
      </c>
    </row>
    <row r="14" spans="1:11" hidden="1" outlineLevel="1">
      <c r="B14" s="47"/>
      <c r="D14" s="197" t="s">
        <v>170</v>
      </c>
      <c r="E14" s="206">
        <f>SUMPRODUCT($C31:$C32,E31:E32)/SUM($C31:$C32)</f>
        <v>107204</v>
      </c>
      <c r="F14" s="206"/>
      <c r="G14" s="205" t="e">
        <f>+#REF!/#REF!-1</f>
        <v>#REF!</v>
      </c>
      <c r="H14" s="205"/>
      <c r="I14" s="205" t="e">
        <f>+#REF!/#REF!-1</f>
        <v>#REF!</v>
      </c>
      <c r="J14" s="205"/>
      <c r="K14" s="205" t="e">
        <f>+E14/#REF!-1</f>
        <v>#REF!</v>
      </c>
    </row>
    <row r="15" spans="1:11" hidden="1" outlineLevel="1">
      <c r="B15" s="47"/>
      <c r="D15" s="197" t="s">
        <v>171</v>
      </c>
      <c r="E15" s="206">
        <f>SUMPRODUCT($C31:$C39,E31:E39)/SUM($C31:$C39)</f>
        <v>109138.54166666667</v>
      </c>
      <c r="F15" s="206"/>
      <c r="G15" s="205" t="e">
        <f>+#REF!/#REF!-1</f>
        <v>#REF!</v>
      </c>
      <c r="H15" s="205"/>
      <c r="I15" s="205" t="e">
        <f>+#REF!/#REF!-1</f>
        <v>#REF!</v>
      </c>
      <c r="J15" s="205"/>
      <c r="K15" s="205" t="e">
        <f>+E15/#REF!-1</f>
        <v>#REF!</v>
      </c>
    </row>
    <row r="16" spans="1:11" hidden="1" outlineLevel="1">
      <c r="B16" s="47"/>
      <c r="D16" s="197" t="s">
        <v>172</v>
      </c>
      <c r="E16" s="206">
        <f>SUMPRODUCT($C31:$C43,E31:E43)/SUM($C31:$C43)</f>
        <v>110243.17073170732</v>
      </c>
      <c r="F16" s="206"/>
      <c r="G16" s="205" t="e">
        <f>+#REF!/#REF!-1</f>
        <v>#REF!</v>
      </c>
      <c r="H16" s="205"/>
      <c r="I16" s="205" t="e">
        <f>+#REF!/#REF!-1</f>
        <v>#REF!</v>
      </c>
      <c r="J16" s="205"/>
      <c r="K16" s="205" t="e">
        <f>+E16/#REF!-1</f>
        <v>#REF!</v>
      </c>
    </row>
    <row r="17" spans="1:12" hidden="1" outlineLevel="1">
      <c r="B17" s="47"/>
      <c r="D17" s="197" t="s">
        <v>173</v>
      </c>
      <c r="E17" s="206">
        <f>SUMPRODUCT($C31:$C47,E31:E47)/SUM($C31:$C47)</f>
        <v>111086.81034482758</v>
      </c>
      <c r="F17" s="206"/>
      <c r="G17" s="205" t="e">
        <f>+#REF!/#REF!-1</f>
        <v>#REF!</v>
      </c>
      <c r="H17" s="205"/>
      <c r="I17" s="205" t="e">
        <f>+#REF!/#REF!-1</f>
        <v>#REF!</v>
      </c>
      <c r="J17" s="205"/>
      <c r="K17" s="205" t="e">
        <f>+E17/#REF!-1</f>
        <v>#REF!</v>
      </c>
    </row>
    <row r="18" spans="1:12" hidden="1" outlineLevel="1">
      <c r="B18" s="47"/>
      <c r="D18" s="197" t="s">
        <v>176</v>
      </c>
      <c r="E18" s="206">
        <f>SUMPRODUCT($C48:$C51,E48:E51)/SUM($C48:$C51)</f>
        <v>114705</v>
      </c>
      <c r="F18" s="206"/>
      <c r="G18" s="205" t="e">
        <f>+#REF!/#REF!-1</f>
        <v>#REF!</v>
      </c>
      <c r="H18" s="205"/>
      <c r="I18" s="205" t="e">
        <f>+#REF!/#REF!-1</f>
        <v>#REF!</v>
      </c>
      <c r="J18" s="205"/>
      <c r="K18" s="205" t="e">
        <f>+E18/#REF!-1</f>
        <v>#REF!</v>
      </c>
    </row>
    <row r="19" spans="1:12" hidden="1" outlineLevel="1">
      <c r="B19" s="47"/>
      <c r="D19" s="23"/>
    </row>
    <row r="20" spans="1:12" ht="34.5" hidden="1" outlineLevel="1">
      <c r="B20" s="47"/>
      <c r="D20" s="201" t="s">
        <v>178</v>
      </c>
      <c r="E20" s="200" t="s">
        <v>179</v>
      </c>
      <c r="F20" s="200"/>
      <c r="G20" s="211">
        <v>2023</v>
      </c>
      <c r="H20" s="211"/>
      <c r="I20" s="212" t="s">
        <v>181</v>
      </c>
      <c r="J20" s="212"/>
      <c r="K20" s="215" t="s">
        <v>179</v>
      </c>
      <c r="L20" s="216" t="s">
        <v>182</v>
      </c>
    </row>
    <row r="21" spans="1:12" hidden="1" outlineLevel="1">
      <c r="B21" s="47"/>
      <c r="D21" s="202" t="s">
        <v>180</v>
      </c>
      <c r="E21" s="203">
        <f>SUMPRODUCT($C31:$C51,E31:E51)/SUM($C31:$C51)</f>
        <v>111618.89705882352</v>
      </c>
      <c r="F21" s="203"/>
      <c r="G21" s="213" t="e">
        <f>#REF!-#REF!</f>
        <v>#REF!</v>
      </c>
      <c r="H21" s="213"/>
      <c r="I21" s="214" t="e">
        <f>#REF!/#REF!-100%</f>
        <v>#REF!</v>
      </c>
      <c r="J21" s="214"/>
      <c r="K21" s="217" t="e">
        <f>E21-#REF!</f>
        <v>#REF!</v>
      </c>
      <c r="L21" s="218" t="e">
        <f>#REF!/#REF!-100%</f>
        <v>#REF!</v>
      </c>
    </row>
    <row r="22" spans="1:12" hidden="1" outlineLevel="1">
      <c r="B22" s="47"/>
      <c r="D22" s="197" t="s">
        <v>170</v>
      </c>
      <c r="E22" s="206">
        <f>SUMPRODUCT($C31:$C32,E31:E32)/SUM($C31:$C32)</f>
        <v>107204</v>
      </c>
      <c r="F22" s="206"/>
      <c r="G22" s="198" t="e">
        <f>#REF!-#REF!</f>
        <v>#REF!</v>
      </c>
      <c r="H22" s="198"/>
      <c r="I22" s="205" t="e">
        <f>#REF!/#REF!-100%</f>
        <v>#REF!</v>
      </c>
      <c r="J22" s="205"/>
      <c r="K22" s="198" t="e">
        <f>E22-#REF!</f>
        <v>#REF!</v>
      </c>
      <c r="L22" s="205" t="e">
        <f>#REF!/#REF!-100%</f>
        <v>#REF!</v>
      </c>
    </row>
    <row r="23" spans="1:12" hidden="1" outlineLevel="1">
      <c r="B23" s="47"/>
      <c r="D23" s="197" t="s">
        <v>177</v>
      </c>
      <c r="E23" s="206">
        <f>SUMPRODUCT($C33:$C39,E33:E39)/SUM($C33:$C39)</f>
        <v>109647.63157894737</v>
      </c>
      <c r="F23" s="206"/>
      <c r="G23" s="198" t="e">
        <f>#REF!-#REF!</f>
        <v>#REF!</v>
      </c>
      <c r="H23" s="198"/>
      <c r="I23" s="205" t="e">
        <f>#REF!/#REF!-100%</f>
        <v>#REF!</v>
      </c>
      <c r="J23" s="205"/>
      <c r="K23" s="198" t="e">
        <f>E23-#REF!</f>
        <v>#REF!</v>
      </c>
      <c r="L23" s="205" t="e">
        <f>#REF!/#REF!-100%</f>
        <v>#REF!</v>
      </c>
    </row>
    <row r="24" spans="1:12" hidden="1" outlineLevel="1">
      <c r="B24" s="47"/>
      <c r="D24" s="197" t="s">
        <v>174</v>
      </c>
      <c r="E24" s="206">
        <f>SUMPRODUCT($C40:$C43,E40:E43)/SUM($C40:$C43)</f>
        <v>111802.64705882352</v>
      </c>
      <c r="F24" s="206"/>
      <c r="G24" s="198" t="e">
        <f>#REF!-#REF!</f>
        <v>#REF!</v>
      </c>
      <c r="H24" s="198"/>
      <c r="I24" s="205" t="e">
        <f>#REF!/#REF!-100%</f>
        <v>#REF!</v>
      </c>
      <c r="J24" s="205"/>
      <c r="K24" s="198" t="e">
        <f>E24-#REF!</f>
        <v>#REF!</v>
      </c>
      <c r="L24" s="205" t="e">
        <f>#REF!/#REF!-100%</f>
        <v>#REF!</v>
      </c>
    </row>
    <row r="25" spans="1:12" hidden="1" outlineLevel="1">
      <c r="B25" s="47"/>
      <c r="D25" s="197" t="s">
        <v>175</v>
      </c>
      <c r="E25" s="206">
        <f>SUMPRODUCT($C45:$C47,E45:E47)/SUM($C45:$C47)</f>
        <v>113272.69230769231</v>
      </c>
      <c r="F25" s="206"/>
      <c r="G25" s="198" t="e">
        <f>#REF!-#REF!</f>
        <v>#REF!</v>
      </c>
      <c r="H25" s="198"/>
      <c r="I25" s="205" t="e">
        <f>#REF!/#REF!-100%</f>
        <v>#REF!</v>
      </c>
      <c r="J25" s="205"/>
      <c r="K25" s="198" t="e">
        <f>E25-#REF!</f>
        <v>#REF!</v>
      </c>
      <c r="L25" s="205" t="e">
        <f>#REF!/#REF!-100%</f>
        <v>#REF!</v>
      </c>
    </row>
    <row r="26" spans="1:12" hidden="1" outlineLevel="1">
      <c r="B26" s="47"/>
      <c r="D26" s="197" t="s">
        <v>176</v>
      </c>
      <c r="E26" s="206">
        <f>SUMPRODUCT($C48:$C51,E48:E51)/SUM($C48:$C51)</f>
        <v>114705</v>
      </c>
      <c r="F26" s="206"/>
      <c r="G26" s="198" t="e">
        <f>#REF!-#REF!</f>
        <v>#REF!</v>
      </c>
      <c r="H26" s="198"/>
      <c r="I26" s="205" t="e">
        <f>#REF!/#REF!-100%</f>
        <v>#REF!</v>
      </c>
      <c r="J26" s="205"/>
      <c r="K26" s="198" t="e">
        <f>E26-#REF!</f>
        <v>#REF!</v>
      </c>
      <c r="L26" s="205" t="e">
        <f>#REF!/#REF!-100%</f>
        <v>#REF!</v>
      </c>
    </row>
    <row r="27" spans="1:12" hidden="1" outlineLevel="1">
      <c r="B27" s="47"/>
      <c r="I27" s="37"/>
      <c r="J27" s="37"/>
      <c r="K27" s="37"/>
      <c r="L27" s="37"/>
    </row>
    <row r="28" spans="1:12" collapsed="1"/>
    <row r="29" spans="1:12" ht="34.5">
      <c r="A29" s="26"/>
      <c r="B29" s="32"/>
      <c r="C29" s="636" t="s">
        <v>26</v>
      </c>
      <c r="D29" s="637"/>
      <c r="E29" s="354" t="s">
        <v>217</v>
      </c>
      <c r="F29" s="354" t="s">
        <v>218</v>
      </c>
      <c r="G29" s="354" t="s">
        <v>219</v>
      </c>
      <c r="H29" s="354" t="s">
        <v>220</v>
      </c>
      <c r="I29" s="354" t="s">
        <v>221</v>
      </c>
      <c r="J29" s="354" t="s">
        <v>222</v>
      </c>
      <c r="K29" s="223">
        <v>2026</v>
      </c>
    </row>
    <row r="30" spans="1:12" s="28" customFormat="1" ht="35.1" customHeight="1">
      <c r="A30" s="27" t="s">
        <v>0</v>
      </c>
      <c r="B30" s="27" t="s">
        <v>30</v>
      </c>
      <c r="C30" s="27" t="s">
        <v>1</v>
      </c>
      <c r="D30" s="27" t="s">
        <v>7</v>
      </c>
      <c r="E30" s="27" t="s">
        <v>31</v>
      </c>
      <c r="F30" s="27" t="s">
        <v>31</v>
      </c>
      <c r="G30" s="27" t="s">
        <v>31</v>
      </c>
      <c r="H30" s="27" t="s">
        <v>31</v>
      </c>
      <c r="I30" s="27" t="s">
        <v>31</v>
      </c>
      <c r="J30" s="27" t="s">
        <v>31</v>
      </c>
      <c r="K30" s="27" t="s">
        <v>31</v>
      </c>
    </row>
    <row r="31" spans="1:12">
      <c r="A31" s="479">
        <v>6</v>
      </c>
      <c r="B31" s="29">
        <f>+A31*0.1</f>
        <v>0.60000000000000009</v>
      </c>
      <c r="C31" s="606">
        <v>1</v>
      </c>
      <c r="D31" s="192">
        <v>106710</v>
      </c>
      <c r="E31" s="40">
        <f t="shared" ref="E31:K32" si="1">E$3*E$7+$A31*E$5*$B31/2</f>
        <v>106710</v>
      </c>
      <c r="F31" s="40">
        <f t="shared" si="1"/>
        <v>106200</v>
      </c>
      <c r="G31" s="40">
        <f t="shared" si="1"/>
        <v>106200</v>
      </c>
      <c r="H31" s="40">
        <f t="shared" si="1"/>
        <v>107300</v>
      </c>
      <c r="I31" s="40">
        <f t="shared" si="1"/>
        <v>107300</v>
      </c>
      <c r="J31" s="40">
        <f t="shared" si="1"/>
        <v>108300</v>
      </c>
      <c r="K31" s="40">
        <f t="shared" si="1"/>
        <v>110600</v>
      </c>
      <c r="L31" s="37"/>
    </row>
    <row r="32" spans="1:12">
      <c r="A32" s="479">
        <v>7</v>
      </c>
      <c r="B32" s="29">
        <f>+A32*0.1</f>
        <v>0.70000000000000007</v>
      </c>
      <c r="C32" s="606">
        <v>4</v>
      </c>
      <c r="D32" s="192">
        <v>107327</v>
      </c>
      <c r="E32" s="40">
        <f t="shared" si="1"/>
        <v>107327.5</v>
      </c>
      <c r="F32" s="40">
        <f t="shared" si="1"/>
        <v>106200</v>
      </c>
      <c r="G32" s="40">
        <f t="shared" si="1"/>
        <v>106200</v>
      </c>
      <c r="H32" s="40">
        <f t="shared" si="1"/>
        <v>107300</v>
      </c>
      <c r="I32" s="40">
        <f t="shared" si="1"/>
        <v>107300</v>
      </c>
      <c r="J32" s="40">
        <f t="shared" si="1"/>
        <v>108300</v>
      </c>
      <c r="K32" s="40">
        <f t="shared" si="1"/>
        <v>110600</v>
      </c>
      <c r="L32" s="37"/>
    </row>
    <row r="33" spans="1:12">
      <c r="A33" s="479">
        <v>8</v>
      </c>
      <c r="B33" s="29">
        <f>+A33*0.1</f>
        <v>0.8</v>
      </c>
      <c r="C33" s="606">
        <v>2</v>
      </c>
      <c r="D33" s="192">
        <v>107280</v>
      </c>
      <c r="E33" s="40">
        <f t="shared" ref="E33:K42" si="2">+E$3*E$7+(E$5*10+($A33-10)*E$6)*$B33/2</f>
        <v>108400</v>
      </c>
      <c r="F33" s="40">
        <f t="shared" si="2"/>
        <v>105780</v>
      </c>
      <c r="G33" s="40">
        <f t="shared" si="2"/>
        <v>105800</v>
      </c>
      <c r="H33" s="40">
        <f t="shared" si="2"/>
        <v>106860</v>
      </c>
      <c r="I33" s="40">
        <f t="shared" si="2"/>
        <v>106800</v>
      </c>
      <c r="J33" s="40">
        <f t="shared" si="2"/>
        <v>107660</v>
      </c>
      <c r="K33" s="40">
        <f t="shared" si="2"/>
        <v>109080</v>
      </c>
      <c r="L33" s="37"/>
    </row>
    <row r="34" spans="1:12">
      <c r="A34" s="479">
        <v>9</v>
      </c>
      <c r="B34" s="29">
        <f>+A34*0.1</f>
        <v>0.9</v>
      </c>
      <c r="C34" s="606">
        <v>5</v>
      </c>
      <c r="D34" s="192">
        <v>108419.6</v>
      </c>
      <c r="E34" s="40">
        <f t="shared" si="2"/>
        <v>109050</v>
      </c>
      <c r="F34" s="40">
        <f t="shared" si="2"/>
        <v>105963.75</v>
      </c>
      <c r="G34" s="40">
        <f t="shared" si="2"/>
        <v>105975</v>
      </c>
      <c r="H34" s="40">
        <f t="shared" si="2"/>
        <v>107052.5</v>
      </c>
      <c r="I34" s="40">
        <f t="shared" si="2"/>
        <v>107018.75</v>
      </c>
      <c r="J34" s="40">
        <f t="shared" si="2"/>
        <v>107940</v>
      </c>
      <c r="K34" s="40">
        <f t="shared" si="2"/>
        <v>109745</v>
      </c>
      <c r="L34" s="37"/>
    </row>
    <row r="35" spans="1:12">
      <c r="A35" s="479">
        <v>10</v>
      </c>
      <c r="B35" s="29">
        <f>+A35*0.1</f>
        <v>1</v>
      </c>
      <c r="C35" s="606">
        <v>5</v>
      </c>
      <c r="D35" s="192">
        <v>109750</v>
      </c>
      <c r="E35" s="40">
        <f t="shared" si="2"/>
        <v>109750</v>
      </c>
      <c r="F35" s="40">
        <f t="shared" si="2"/>
        <v>106200</v>
      </c>
      <c r="G35" s="40">
        <f t="shared" si="2"/>
        <v>106200</v>
      </c>
      <c r="H35" s="40">
        <f t="shared" si="2"/>
        <v>107300</v>
      </c>
      <c r="I35" s="40">
        <f t="shared" si="2"/>
        <v>107300</v>
      </c>
      <c r="J35" s="40">
        <f t="shared" si="2"/>
        <v>108300</v>
      </c>
      <c r="K35" s="40">
        <f t="shared" si="2"/>
        <v>110600</v>
      </c>
      <c r="L35" s="37"/>
    </row>
    <row r="36" spans="1:12">
      <c r="A36" s="479">
        <v>11</v>
      </c>
      <c r="B36" s="29">
        <f>$B$35+(A36-10)*0.01</f>
        <v>1.01</v>
      </c>
      <c r="C36" s="606">
        <v>3</v>
      </c>
      <c r="D36" s="192">
        <v>110050</v>
      </c>
      <c r="E36" s="40">
        <f t="shared" si="2"/>
        <v>110050</v>
      </c>
      <c r="F36" s="40">
        <f t="shared" si="2"/>
        <v>106465.125</v>
      </c>
      <c r="G36" s="40">
        <f t="shared" si="2"/>
        <v>106452.5</v>
      </c>
      <c r="H36" s="40">
        <f t="shared" si="2"/>
        <v>107577.75</v>
      </c>
      <c r="I36" s="40">
        <f t="shared" si="2"/>
        <v>107615.625</v>
      </c>
      <c r="J36" s="40">
        <f t="shared" si="2"/>
        <v>108704</v>
      </c>
      <c r="K36" s="40">
        <f t="shared" si="2"/>
        <v>111559.5</v>
      </c>
      <c r="L36" s="37"/>
    </row>
    <row r="37" spans="1:12">
      <c r="A37" s="479">
        <v>12</v>
      </c>
      <c r="B37" s="29">
        <f t="shared" ref="B37:B100" si="3">$B$35+(A37-10)*0.01</f>
        <v>1.02</v>
      </c>
      <c r="C37" s="606">
        <v>2</v>
      </c>
      <c r="D37" s="192">
        <v>110355</v>
      </c>
      <c r="E37" s="40">
        <f t="shared" si="2"/>
        <v>110355</v>
      </c>
      <c r="F37" s="40">
        <f t="shared" si="2"/>
        <v>106735.5</v>
      </c>
      <c r="G37" s="40">
        <f t="shared" si="2"/>
        <v>106710</v>
      </c>
      <c r="H37" s="40">
        <f t="shared" si="2"/>
        <v>107861</v>
      </c>
      <c r="I37" s="40">
        <f t="shared" si="2"/>
        <v>107937.5</v>
      </c>
      <c r="J37" s="40">
        <f t="shared" si="2"/>
        <v>109116</v>
      </c>
      <c r="K37" s="40">
        <f t="shared" si="2"/>
        <v>112538</v>
      </c>
      <c r="L37" s="37"/>
    </row>
    <row r="38" spans="1:12">
      <c r="A38" s="479">
        <v>13</v>
      </c>
      <c r="B38" s="29">
        <f t="shared" si="3"/>
        <v>1.03</v>
      </c>
      <c r="C38" s="606">
        <v>1</v>
      </c>
      <c r="D38" s="192">
        <v>110665</v>
      </c>
      <c r="E38" s="40">
        <f t="shared" si="2"/>
        <v>110665</v>
      </c>
      <c r="F38" s="40">
        <f t="shared" si="2"/>
        <v>107011.125</v>
      </c>
      <c r="G38" s="40">
        <f t="shared" si="2"/>
        <v>106972.5</v>
      </c>
      <c r="H38" s="40">
        <f t="shared" si="2"/>
        <v>108149.75</v>
      </c>
      <c r="I38" s="40">
        <f t="shared" si="2"/>
        <v>108265.625</v>
      </c>
      <c r="J38" s="40">
        <f t="shared" si="2"/>
        <v>109536</v>
      </c>
      <c r="K38" s="40">
        <f t="shared" si="2"/>
        <v>113535.5</v>
      </c>
      <c r="L38" s="37"/>
    </row>
    <row r="39" spans="1:12">
      <c r="A39" s="479">
        <v>14</v>
      </c>
      <c r="B39" s="29">
        <f t="shared" si="3"/>
        <v>1.04</v>
      </c>
      <c r="C39" s="606">
        <v>1</v>
      </c>
      <c r="D39" s="192">
        <v>110980</v>
      </c>
      <c r="E39" s="40">
        <f t="shared" si="2"/>
        <v>110980</v>
      </c>
      <c r="F39" s="40">
        <f t="shared" si="2"/>
        <v>107292</v>
      </c>
      <c r="G39" s="40">
        <f t="shared" si="2"/>
        <v>107240</v>
      </c>
      <c r="H39" s="40">
        <f t="shared" si="2"/>
        <v>108444</v>
      </c>
      <c r="I39" s="40">
        <f t="shared" si="2"/>
        <v>108600</v>
      </c>
      <c r="J39" s="40">
        <f t="shared" si="2"/>
        <v>109964</v>
      </c>
      <c r="K39" s="40">
        <f t="shared" si="2"/>
        <v>114552</v>
      </c>
      <c r="L39" s="37"/>
    </row>
    <row r="40" spans="1:12">
      <c r="A40" s="479">
        <v>15</v>
      </c>
      <c r="B40" s="29">
        <f t="shared" si="3"/>
        <v>1.05</v>
      </c>
      <c r="C40" s="606">
        <v>5</v>
      </c>
      <c r="D40" s="192">
        <v>102126.8</v>
      </c>
      <c r="E40" s="40">
        <f t="shared" si="2"/>
        <v>111300</v>
      </c>
      <c r="F40" s="40">
        <f t="shared" si="2"/>
        <v>107578.125</v>
      </c>
      <c r="G40" s="40">
        <f t="shared" si="2"/>
        <v>107512.5</v>
      </c>
      <c r="H40" s="40">
        <f t="shared" si="2"/>
        <v>108743.75</v>
      </c>
      <c r="I40" s="40">
        <f t="shared" si="2"/>
        <v>108940.625</v>
      </c>
      <c r="J40" s="40">
        <f t="shared" si="2"/>
        <v>110400</v>
      </c>
      <c r="K40" s="40">
        <f t="shared" si="2"/>
        <v>115587.5</v>
      </c>
      <c r="L40" s="37"/>
    </row>
    <row r="41" spans="1:12">
      <c r="A41" s="479">
        <v>16</v>
      </c>
      <c r="B41" s="29">
        <f t="shared" si="3"/>
        <v>1.06</v>
      </c>
      <c r="C41" s="606">
        <v>3</v>
      </c>
      <c r="D41" s="192">
        <v>111625</v>
      </c>
      <c r="E41" s="40">
        <f t="shared" si="2"/>
        <v>111625</v>
      </c>
      <c r="F41" s="40">
        <f t="shared" si="2"/>
        <v>107869.5</v>
      </c>
      <c r="G41" s="40">
        <f t="shared" si="2"/>
        <v>107790</v>
      </c>
      <c r="H41" s="40">
        <f t="shared" si="2"/>
        <v>109049</v>
      </c>
      <c r="I41" s="40">
        <f t="shared" si="2"/>
        <v>109287.5</v>
      </c>
      <c r="J41" s="40">
        <f t="shared" si="2"/>
        <v>110844</v>
      </c>
      <c r="K41" s="40">
        <f t="shared" si="2"/>
        <v>116642</v>
      </c>
      <c r="L41" s="37"/>
    </row>
    <row r="42" spans="1:12">
      <c r="A42" s="479">
        <v>17</v>
      </c>
      <c r="B42" s="29">
        <f t="shared" si="3"/>
        <v>1.07</v>
      </c>
      <c r="C42" s="606">
        <v>4</v>
      </c>
      <c r="D42" s="192">
        <v>111955</v>
      </c>
      <c r="E42" s="40">
        <f t="shared" si="2"/>
        <v>111955</v>
      </c>
      <c r="F42" s="40">
        <f t="shared" si="2"/>
        <v>108166.125</v>
      </c>
      <c r="G42" s="40">
        <f t="shared" si="2"/>
        <v>108072.5</v>
      </c>
      <c r="H42" s="40">
        <f t="shared" si="2"/>
        <v>109359.75</v>
      </c>
      <c r="I42" s="40">
        <f t="shared" si="2"/>
        <v>109640.625</v>
      </c>
      <c r="J42" s="40">
        <f t="shared" si="2"/>
        <v>111296</v>
      </c>
      <c r="K42" s="40">
        <f t="shared" si="2"/>
        <v>117715.5</v>
      </c>
      <c r="L42" s="37"/>
    </row>
    <row r="43" spans="1:12">
      <c r="A43" s="479">
        <v>18</v>
      </c>
      <c r="B43" s="29">
        <f t="shared" si="3"/>
        <v>1.08</v>
      </c>
      <c r="C43" s="606">
        <v>5</v>
      </c>
      <c r="D43" s="192">
        <v>111830</v>
      </c>
      <c r="E43" s="40">
        <f t="shared" ref="E43:K58" si="4">+E$3*E$7+(E$5*10+($A43-10)*E$6)*$B43/2</f>
        <v>112290</v>
      </c>
      <c r="F43" s="40">
        <f t="shared" si="4"/>
        <v>108468</v>
      </c>
      <c r="G43" s="40">
        <f t="shared" si="4"/>
        <v>108360</v>
      </c>
      <c r="H43" s="40">
        <f t="shared" si="4"/>
        <v>109676</v>
      </c>
      <c r="I43" s="40">
        <f t="shared" si="4"/>
        <v>110000</v>
      </c>
      <c r="J43" s="40">
        <f t="shared" si="4"/>
        <v>111756</v>
      </c>
      <c r="K43" s="40">
        <f t="shared" si="4"/>
        <v>118808</v>
      </c>
      <c r="L43" s="37"/>
    </row>
    <row r="44" spans="1:12">
      <c r="A44" s="479">
        <v>19</v>
      </c>
      <c r="B44" s="29">
        <f t="shared" si="3"/>
        <v>1.0900000000000001</v>
      </c>
      <c r="C44" s="606">
        <v>4</v>
      </c>
      <c r="D44" s="192">
        <v>112630</v>
      </c>
      <c r="E44" s="40">
        <f t="shared" si="4"/>
        <v>112630</v>
      </c>
      <c r="F44" s="40">
        <f t="shared" si="4"/>
        <v>108775.125</v>
      </c>
      <c r="G44" s="40">
        <f t="shared" si="4"/>
        <v>108652.5</v>
      </c>
      <c r="H44" s="40">
        <f t="shared" si="4"/>
        <v>109997.75</v>
      </c>
      <c r="I44" s="40">
        <f t="shared" si="4"/>
        <v>110365.625</v>
      </c>
      <c r="J44" s="40">
        <f t="shared" si="4"/>
        <v>112224</v>
      </c>
      <c r="K44" s="40">
        <f t="shared" si="4"/>
        <v>119919.5</v>
      </c>
      <c r="L44" s="37"/>
    </row>
    <row r="45" spans="1:12">
      <c r="A45" s="479">
        <v>20</v>
      </c>
      <c r="B45" s="29">
        <f t="shared" si="3"/>
        <v>1.1000000000000001</v>
      </c>
      <c r="C45" s="606">
        <v>6</v>
      </c>
      <c r="D45" s="192">
        <v>112977.83333333333</v>
      </c>
      <c r="E45" s="40">
        <f t="shared" si="4"/>
        <v>112975</v>
      </c>
      <c r="F45" s="40">
        <f t="shared" si="4"/>
        <v>109087.5</v>
      </c>
      <c r="G45" s="40">
        <f t="shared" si="4"/>
        <v>108950</v>
      </c>
      <c r="H45" s="40">
        <f t="shared" si="4"/>
        <v>110325</v>
      </c>
      <c r="I45" s="40">
        <f t="shared" si="4"/>
        <v>110737.5</v>
      </c>
      <c r="J45" s="40">
        <f t="shared" si="4"/>
        <v>112700</v>
      </c>
      <c r="K45" s="40">
        <f t="shared" si="4"/>
        <v>121050</v>
      </c>
      <c r="L45" s="37"/>
    </row>
    <row r="46" spans="1:12">
      <c r="A46" s="479">
        <v>21</v>
      </c>
      <c r="B46" s="29">
        <f t="shared" si="3"/>
        <v>1.1100000000000001</v>
      </c>
      <c r="C46" s="606">
        <v>3</v>
      </c>
      <c r="D46" s="192">
        <v>113325</v>
      </c>
      <c r="E46" s="40">
        <f t="shared" si="4"/>
        <v>113325</v>
      </c>
      <c r="F46" s="40">
        <f t="shared" si="4"/>
        <v>109405.125</v>
      </c>
      <c r="G46" s="40">
        <f t="shared" si="4"/>
        <v>109252.5</v>
      </c>
      <c r="H46" s="40">
        <f t="shared" si="4"/>
        <v>110657.75</v>
      </c>
      <c r="I46" s="40">
        <f t="shared" si="4"/>
        <v>111115.625</v>
      </c>
      <c r="J46" s="40">
        <f t="shared" si="4"/>
        <v>113184</v>
      </c>
      <c r="K46" s="40">
        <f t="shared" si="4"/>
        <v>122199.5</v>
      </c>
      <c r="L46" s="37"/>
    </row>
    <row r="47" spans="1:12">
      <c r="A47" s="479">
        <v>22</v>
      </c>
      <c r="B47" s="29">
        <f t="shared" si="3"/>
        <v>1.1200000000000001</v>
      </c>
      <c r="C47" s="606">
        <v>4</v>
      </c>
      <c r="D47" s="192">
        <v>106536.25</v>
      </c>
      <c r="E47" s="40">
        <f t="shared" si="4"/>
        <v>113680</v>
      </c>
      <c r="F47" s="40">
        <f t="shared" si="4"/>
        <v>109728</v>
      </c>
      <c r="G47" s="40">
        <f t="shared" si="4"/>
        <v>109560</v>
      </c>
      <c r="H47" s="40">
        <f t="shared" si="4"/>
        <v>110996</v>
      </c>
      <c r="I47" s="40">
        <f t="shared" si="4"/>
        <v>111500</v>
      </c>
      <c r="J47" s="40">
        <f t="shared" si="4"/>
        <v>113676</v>
      </c>
      <c r="K47" s="40">
        <f t="shared" si="4"/>
        <v>123368</v>
      </c>
      <c r="L47" s="37"/>
    </row>
    <row r="48" spans="1:12">
      <c r="A48" s="479">
        <v>23</v>
      </c>
      <c r="B48" s="29">
        <f t="shared" si="3"/>
        <v>1.1299999999999999</v>
      </c>
      <c r="C48" s="606">
        <v>3</v>
      </c>
      <c r="D48" s="192">
        <v>114040</v>
      </c>
      <c r="E48" s="40">
        <f t="shared" si="4"/>
        <v>114040</v>
      </c>
      <c r="F48" s="40">
        <f t="shared" si="4"/>
        <v>110056.125</v>
      </c>
      <c r="G48" s="40">
        <f t="shared" si="4"/>
        <v>109872.5</v>
      </c>
      <c r="H48" s="40">
        <f t="shared" si="4"/>
        <v>111339.75</v>
      </c>
      <c r="I48" s="40">
        <f t="shared" si="4"/>
        <v>111890.625</v>
      </c>
      <c r="J48" s="40">
        <f t="shared" si="4"/>
        <v>114176</v>
      </c>
      <c r="K48" s="40">
        <f t="shared" si="4"/>
        <v>124555.5</v>
      </c>
      <c r="L48" s="37"/>
    </row>
    <row r="49" spans="1:12">
      <c r="A49" s="479">
        <v>24</v>
      </c>
      <c r="B49" s="29">
        <f t="shared" si="3"/>
        <v>1.1400000000000001</v>
      </c>
      <c r="C49" s="606">
        <v>1</v>
      </c>
      <c r="D49" s="192">
        <v>114405</v>
      </c>
      <c r="E49" s="40">
        <f t="shared" si="4"/>
        <v>114405</v>
      </c>
      <c r="F49" s="40">
        <f t="shared" si="4"/>
        <v>110389.5</v>
      </c>
      <c r="G49" s="40">
        <f t="shared" si="4"/>
        <v>110190</v>
      </c>
      <c r="H49" s="40">
        <f t="shared" si="4"/>
        <v>111689</v>
      </c>
      <c r="I49" s="40">
        <f t="shared" si="4"/>
        <v>112287.5</v>
      </c>
      <c r="J49" s="40">
        <f t="shared" si="4"/>
        <v>114684</v>
      </c>
      <c r="K49" s="40">
        <f t="shared" si="4"/>
        <v>125762</v>
      </c>
      <c r="L49" s="37"/>
    </row>
    <row r="50" spans="1:12">
      <c r="A50" s="479">
        <v>25</v>
      </c>
      <c r="B50" s="29">
        <f t="shared" si="3"/>
        <v>1.1499999999999999</v>
      </c>
      <c r="C50" s="606">
        <v>1</v>
      </c>
      <c r="D50" s="192">
        <v>114617</v>
      </c>
      <c r="E50" s="40">
        <f t="shared" si="4"/>
        <v>114775</v>
      </c>
      <c r="F50" s="40">
        <f t="shared" si="4"/>
        <v>110728.125</v>
      </c>
      <c r="G50" s="40">
        <f t="shared" si="4"/>
        <v>110512.5</v>
      </c>
      <c r="H50" s="40">
        <f t="shared" si="4"/>
        <v>112043.75</v>
      </c>
      <c r="I50" s="40">
        <f t="shared" si="4"/>
        <v>112690.625</v>
      </c>
      <c r="J50" s="40">
        <f t="shared" si="4"/>
        <v>115200</v>
      </c>
      <c r="K50" s="40">
        <f t="shared" si="4"/>
        <v>126987.5</v>
      </c>
      <c r="L50" s="37"/>
    </row>
    <row r="51" spans="1:12">
      <c r="A51" s="479">
        <v>26</v>
      </c>
      <c r="B51" s="29">
        <f t="shared" si="3"/>
        <v>1.1599999999999999</v>
      </c>
      <c r="C51" s="606">
        <v>5</v>
      </c>
      <c r="D51" s="192">
        <v>115093</v>
      </c>
      <c r="E51" s="40">
        <f t="shared" si="4"/>
        <v>115150</v>
      </c>
      <c r="F51" s="40">
        <f t="shared" si="4"/>
        <v>111072</v>
      </c>
      <c r="G51" s="40">
        <f t="shared" si="4"/>
        <v>110840</v>
      </c>
      <c r="H51" s="40">
        <f t="shared" si="4"/>
        <v>112404</v>
      </c>
      <c r="I51" s="40">
        <f t="shared" si="4"/>
        <v>113100</v>
      </c>
      <c r="J51" s="40">
        <f t="shared" si="4"/>
        <v>115724</v>
      </c>
      <c r="K51" s="40">
        <f t="shared" si="4"/>
        <v>128232</v>
      </c>
      <c r="L51" s="37"/>
    </row>
    <row r="52" spans="1:12">
      <c r="A52" s="479">
        <v>28</v>
      </c>
      <c r="B52" s="29">
        <f t="shared" si="3"/>
        <v>1.18</v>
      </c>
      <c r="C52" s="606">
        <v>5</v>
      </c>
      <c r="D52" s="192">
        <v>116782</v>
      </c>
      <c r="E52" s="40">
        <f t="shared" si="4"/>
        <v>115915</v>
      </c>
      <c r="F52" s="40">
        <f t="shared" si="4"/>
        <v>111775.5</v>
      </c>
      <c r="G52" s="40">
        <f t="shared" si="4"/>
        <v>111510</v>
      </c>
      <c r="H52" s="40">
        <f t="shared" si="4"/>
        <v>113141</v>
      </c>
      <c r="I52" s="40">
        <f t="shared" si="4"/>
        <v>113937.5</v>
      </c>
      <c r="J52" s="40">
        <f t="shared" si="4"/>
        <v>116796</v>
      </c>
      <c r="K52" s="40">
        <f t="shared" si="4"/>
        <v>130778</v>
      </c>
      <c r="L52" s="37"/>
    </row>
    <row r="53" spans="1:12">
      <c r="A53" s="479">
        <v>30</v>
      </c>
      <c r="B53" s="29">
        <f t="shared" si="3"/>
        <v>1.2</v>
      </c>
      <c r="C53" s="606">
        <v>3</v>
      </c>
      <c r="D53" s="192">
        <v>117001.66666666667</v>
      </c>
      <c r="E53" s="40">
        <f t="shared" si="4"/>
        <v>116700</v>
      </c>
      <c r="F53" s="40">
        <f t="shared" si="4"/>
        <v>112500</v>
      </c>
      <c r="G53" s="40">
        <f t="shared" si="4"/>
        <v>112200</v>
      </c>
      <c r="H53" s="40">
        <f t="shared" si="4"/>
        <v>113900</v>
      </c>
      <c r="I53" s="40">
        <f t="shared" si="4"/>
        <v>114800</v>
      </c>
      <c r="J53" s="40">
        <f t="shared" si="4"/>
        <v>117900</v>
      </c>
      <c r="K53" s="40">
        <f t="shared" si="4"/>
        <v>133400</v>
      </c>
      <c r="L53" s="37"/>
    </row>
    <row r="54" spans="1:12">
      <c r="A54" s="479">
        <v>31</v>
      </c>
      <c r="B54" s="29">
        <f t="shared" si="3"/>
        <v>1.21</v>
      </c>
      <c r="C54" s="606">
        <v>1</v>
      </c>
      <c r="D54" s="192">
        <v>117935</v>
      </c>
      <c r="E54" s="40">
        <f t="shared" si="4"/>
        <v>117100</v>
      </c>
      <c r="F54" s="40">
        <f t="shared" si="4"/>
        <v>112870.125</v>
      </c>
      <c r="G54" s="40">
        <f t="shared" si="4"/>
        <v>112552.5</v>
      </c>
      <c r="H54" s="40">
        <f t="shared" si="4"/>
        <v>114287.75</v>
      </c>
      <c r="I54" s="40">
        <f t="shared" si="4"/>
        <v>115240.625</v>
      </c>
      <c r="J54" s="40">
        <f t="shared" si="4"/>
        <v>118464</v>
      </c>
      <c r="K54" s="40">
        <f t="shared" si="4"/>
        <v>134739.5</v>
      </c>
      <c r="L54" s="37"/>
    </row>
    <row r="55" spans="1:12">
      <c r="A55" s="479">
        <v>32</v>
      </c>
      <c r="B55" s="29">
        <f t="shared" si="3"/>
        <v>1.22</v>
      </c>
      <c r="C55" s="606">
        <v>4</v>
      </c>
      <c r="D55" s="192">
        <v>117505</v>
      </c>
      <c r="E55" s="40">
        <f t="shared" si="4"/>
        <v>117505</v>
      </c>
      <c r="F55" s="40">
        <f t="shared" si="4"/>
        <v>113245.5</v>
      </c>
      <c r="G55" s="40">
        <f t="shared" si="4"/>
        <v>112910</v>
      </c>
      <c r="H55" s="40">
        <f t="shared" si="4"/>
        <v>114681</v>
      </c>
      <c r="I55" s="40">
        <f t="shared" si="4"/>
        <v>115687.5</v>
      </c>
      <c r="J55" s="40">
        <f t="shared" si="4"/>
        <v>119036</v>
      </c>
      <c r="K55" s="40">
        <f t="shared" si="4"/>
        <v>136098</v>
      </c>
    </row>
    <row r="56" spans="1:12">
      <c r="A56" s="479">
        <v>35</v>
      </c>
      <c r="B56" s="29">
        <f t="shared" si="3"/>
        <v>1.25</v>
      </c>
      <c r="C56" s="503">
        <v>1</v>
      </c>
      <c r="D56" s="192">
        <v>118570</v>
      </c>
      <c r="E56" s="40">
        <f t="shared" si="4"/>
        <v>118750</v>
      </c>
      <c r="F56" s="40">
        <f t="shared" si="4"/>
        <v>114403.125</v>
      </c>
      <c r="G56" s="40">
        <f t="shared" si="4"/>
        <v>114012.5</v>
      </c>
      <c r="H56" s="40">
        <f t="shared" si="4"/>
        <v>115893.75</v>
      </c>
      <c r="I56" s="40">
        <f t="shared" si="4"/>
        <v>117065.625</v>
      </c>
      <c r="J56" s="40">
        <f t="shared" si="4"/>
        <v>120800</v>
      </c>
      <c r="K56" s="40">
        <f t="shared" si="4"/>
        <v>140287.5</v>
      </c>
    </row>
    <row r="57" spans="1:12">
      <c r="A57" s="479">
        <v>36</v>
      </c>
      <c r="B57" s="29">
        <f t="shared" si="3"/>
        <v>1.26</v>
      </c>
      <c r="C57" s="503"/>
      <c r="D57" s="192"/>
      <c r="E57" s="40">
        <f t="shared" si="4"/>
        <v>119175</v>
      </c>
      <c r="F57" s="40">
        <f t="shared" si="4"/>
        <v>114799.5</v>
      </c>
      <c r="G57" s="40">
        <f t="shared" si="4"/>
        <v>114390</v>
      </c>
      <c r="H57" s="40">
        <f t="shared" si="4"/>
        <v>116309</v>
      </c>
      <c r="I57" s="40">
        <f t="shared" si="4"/>
        <v>117537.5</v>
      </c>
      <c r="J57" s="40">
        <f t="shared" si="4"/>
        <v>121404</v>
      </c>
      <c r="K57" s="40">
        <f t="shared" si="4"/>
        <v>141722</v>
      </c>
    </row>
    <row r="58" spans="1:12">
      <c r="A58" s="479">
        <v>37</v>
      </c>
      <c r="B58" s="29">
        <f t="shared" si="3"/>
        <v>1.27</v>
      </c>
      <c r="C58" s="503">
        <v>1</v>
      </c>
      <c r="D58" s="192">
        <v>119950</v>
      </c>
      <c r="E58" s="40">
        <f t="shared" si="4"/>
        <v>119605</v>
      </c>
      <c r="F58" s="40">
        <f t="shared" si="4"/>
        <v>115201.125</v>
      </c>
      <c r="G58" s="40">
        <f t="shared" si="4"/>
        <v>114772.5</v>
      </c>
      <c r="H58" s="40">
        <f t="shared" si="4"/>
        <v>116729.75</v>
      </c>
      <c r="I58" s="40">
        <f t="shared" si="4"/>
        <v>118015.625</v>
      </c>
      <c r="J58" s="40">
        <f t="shared" si="4"/>
        <v>122016</v>
      </c>
      <c r="K58" s="40">
        <f t="shared" si="4"/>
        <v>143175.5</v>
      </c>
    </row>
    <row r="59" spans="1:12">
      <c r="A59" s="479">
        <v>38</v>
      </c>
      <c r="B59" s="29">
        <f t="shared" si="3"/>
        <v>1.28</v>
      </c>
      <c r="C59" s="503"/>
      <c r="D59" s="192"/>
      <c r="E59" s="40">
        <f t="shared" ref="E59:K95" si="5">+E$3*E$7+(E$5*10+($A59-10)*E$6)*$B59/2</f>
        <v>120040</v>
      </c>
      <c r="F59" s="40">
        <f t="shared" si="5"/>
        <v>115608</v>
      </c>
      <c r="G59" s="40">
        <f t="shared" si="5"/>
        <v>115160</v>
      </c>
      <c r="H59" s="40">
        <f t="shared" si="5"/>
        <v>117156</v>
      </c>
      <c r="I59" s="40">
        <f t="shared" si="5"/>
        <v>118500</v>
      </c>
      <c r="J59" s="40">
        <f t="shared" si="5"/>
        <v>122636</v>
      </c>
      <c r="K59" s="40">
        <f t="shared" si="5"/>
        <v>144648</v>
      </c>
    </row>
    <row r="60" spans="1:12">
      <c r="A60" s="479">
        <v>39</v>
      </c>
      <c r="B60" s="29">
        <f t="shared" si="3"/>
        <v>1.29</v>
      </c>
      <c r="C60" s="503">
        <v>4</v>
      </c>
      <c r="D60" s="192">
        <v>120798.75</v>
      </c>
      <c r="E60" s="40">
        <f t="shared" si="5"/>
        <v>120480</v>
      </c>
      <c r="F60" s="40">
        <f t="shared" si="5"/>
        <v>116020.125</v>
      </c>
      <c r="G60" s="40">
        <f t="shared" si="5"/>
        <v>115552.5</v>
      </c>
      <c r="H60" s="40">
        <f t="shared" si="5"/>
        <v>117587.75</v>
      </c>
      <c r="I60" s="40">
        <f t="shared" si="5"/>
        <v>118990.625</v>
      </c>
      <c r="J60" s="40">
        <f t="shared" si="5"/>
        <v>123264</v>
      </c>
      <c r="K60" s="40">
        <f t="shared" si="5"/>
        <v>146139.5</v>
      </c>
    </row>
    <row r="61" spans="1:12">
      <c r="A61" s="479">
        <v>40</v>
      </c>
      <c r="B61" s="29">
        <f t="shared" si="3"/>
        <v>1.3</v>
      </c>
      <c r="C61" s="503">
        <v>1</v>
      </c>
      <c r="D61" s="192">
        <v>121130</v>
      </c>
      <c r="E61" s="40">
        <f t="shared" si="5"/>
        <v>120925</v>
      </c>
      <c r="F61" s="40">
        <f t="shared" si="5"/>
        <v>116437.5</v>
      </c>
      <c r="G61" s="40">
        <f t="shared" si="5"/>
        <v>115950</v>
      </c>
      <c r="H61" s="40">
        <f t="shared" si="5"/>
        <v>118025</v>
      </c>
      <c r="I61" s="40">
        <f t="shared" si="5"/>
        <v>119487.5</v>
      </c>
      <c r="J61" s="40">
        <f t="shared" si="5"/>
        <v>123900</v>
      </c>
      <c r="K61" s="40">
        <f t="shared" si="5"/>
        <v>147650</v>
      </c>
    </row>
    <row r="62" spans="1:12">
      <c r="A62" s="479">
        <v>41</v>
      </c>
      <c r="B62" s="29">
        <f t="shared" si="3"/>
        <v>1.31</v>
      </c>
      <c r="C62" s="503"/>
      <c r="D62" s="192"/>
      <c r="E62" s="40">
        <f t="shared" si="5"/>
        <v>121375</v>
      </c>
      <c r="F62" s="40">
        <f t="shared" si="5"/>
        <v>116860.125</v>
      </c>
      <c r="G62" s="40">
        <f t="shared" si="5"/>
        <v>116352.5</v>
      </c>
      <c r="H62" s="40">
        <f t="shared" si="5"/>
        <v>118467.75</v>
      </c>
      <c r="I62" s="40">
        <f t="shared" si="5"/>
        <v>119990.625</v>
      </c>
      <c r="J62" s="40">
        <f t="shared" si="5"/>
        <v>124544</v>
      </c>
      <c r="K62" s="40">
        <f t="shared" si="5"/>
        <v>149179.5</v>
      </c>
    </row>
    <row r="63" spans="1:12">
      <c r="A63" s="479">
        <v>42</v>
      </c>
      <c r="B63" s="29">
        <f t="shared" si="3"/>
        <v>1.32</v>
      </c>
      <c r="C63" s="503"/>
      <c r="D63" s="192"/>
      <c r="E63" s="40">
        <f t="shared" si="5"/>
        <v>121830</v>
      </c>
      <c r="F63" s="40">
        <f t="shared" si="5"/>
        <v>117288</v>
      </c>
      <c r="G63" s="40">
        <f t="shared" si="5"/>
        <v>116760</v>
      </c>
      <c r="H63" s="40">
        <f t="shared" si="5"/>
        <v>118916</v>
      </c>
      <c r="I63" s="40">
        <f t="shared" si="5"/>
        <v>120500</v>
      </c>
      <c r="J63" s="40">
        <f t="shared" si="5"/>
        <v>125196</v>
      </c>
      <c r="K63" s="40">
        <f t="shared" si="5"/>
        <v>150728</v>
      </c>
    </row>
    <row r="64" spans="1:12">
      <c r="A64" s="479">
        <v>43</v>
      </c>
      <c r="B64" s="29">
        <f t="shared" si="3"/>
        <v>1.33</v>
      </c>
      <c r="C64" s="503">
        <v>2</v>
      </c>
      <c r="D64" s="192">
        <v>121765</v>
      </c>
      <c r="E64" s="40">
        <f t="shared" si="5"/>
        <v>122290</v>
      </c>
      <c r="F64" s="40">
        <f t="shared" si="5"/>
        <v>117721.125</v>
      </c>
      <c r="G64" s="40">
        <f t="shared" si="5"/>
        <v>117172.5</v>
      </c>
      <c r="H64" s="40">
        <f t="shared" si="5"/>
        <v>119369.75</v>
      </c>
      <c r="I64" s="40">
        <f t="shared" si="5"/>
        <v>121015.625</v>
      </c>
      <c r="J64" s="40">
        <f t="shared" si="5"/>
        <v>125856</v>
      </c>
      <c r="K64" s="40">
        <f t="shared" si="5"/>
        <v>152295.5</v>
      </c>
    </row>
    <row r="65" spans="1:11">
      <c r="A65" s="479">
        <v>44</v>
      </c>
      <c r="B65" s="29">
        <f t="shared" si="3"/>
        <v>1.34</v>
      </c>
      <c r="C65" s="503"/>
      <c r="D65" s="192"/>
      <c r="E65" s="40">
        <f t="shared" si="5"/>
        <v>122755</v>
      </c>
      <c r="F65" s="40">
        <f t="shared" si="5"/>
        <v>118159.5</v>
      </c>
      <c r="G65" s="40">
        <f t="shared" si="5"/>
        <v>117590</v>
      </c>
      <c r="H65" s="40">
        <f t="shared" si="5"/>
        <v>119829</v>
      </c>
      <c r="I65" s="40">
        <f t="shared" si="5"/>
        <v>121537.5</v>
      </c>
      <c r="J65" s="40">
        <f t="shared" si="5"/>
        <v>126524</v>
      </c>
      <c r="K65" s="40">
        <f t="shared" si="5"/>
        <v>153882</v>
      </c>
    </row>
    <row r="66" spans="1:11">
      <c r="A66" s="479">
        <v>45</v>
      </c>
      <c r="B66" s="29">
        <f t="shared" si="3"/>
        <v>1.35</v>
      </c>
      <c r="C66" s="503">
        <v>2</v>
      </c>
      <c r="D66" s="192">
        <v>122950</v>
      </c>
      <c r="E66" s="40">
        <f t="shared" si="5"/>
        <v>123225</v>
      </c>
      <c r="F66" s="40">
        <f t="shared" si="5"/>
        <v>118603.125</v>
      </c>
      <c r="G66" s="40">
        <f t="shared" si="5"/>
        <v>118012.5</v>
      </c>
      <c r="H66" s="40">
        <f t="shared" si="5"/>
        <v>120293.75</v>
      </c>
      <c r="I66" s="40">
        <f t="shared" si="5"/>
        <v>122065.625</v>
      </c>
      <c r="J66" s="40">
        <f t="shared" si="5"/>
        <v>127200</v>
      </c>
      <c r="K66" s="40">
        <f t="shared" si="5"/>
        <v>155487.5</v>
      </c>
    </row>
    <row r="67" spans="1:11">
      <c r="A67" s="479">
        <v>46</v>
      </c>
      <c r="B67" s="29">
        <f t="shared" si="3"/>
        <v>1.3599999999999999</v>
      </c>
      <c r="C67" s="503"/>
      <c r="D67" s="192"/>
      <c r="E67" s="40">
        <f t="shared" si="5"/>
        <v>123700</v>
      </c>
      <c r="F67" s="40">
        <f t="shared" si="5"/>
        <v>119052</v>
      </c>
      <c r="G67" s="40">
        <f t="shared" si="5"/>
        <v>118440</v>
      </c>
      <c r="H67" s="40">
        <f t="shared" si="5"/>
        <v>120764</v>
      </c>
      <c r="I67" s="40">
        <f t="shared" si="5"/>
        <v>122600</v>
      </c>
      <c r="J67" s="40">
        <f t="shared" si="5"/>
        <v>127884</v>
      </c>
      <c r="K67" s="40">
        <f t="shared" si="5"/>
        <v>157112</v>
      </c>
    </row>
    <row r="68" spans="1:11">
      <c r="A68" s="479">
        <v>47</v>
      </c>
      <c r="B68" s="29">
        <f t="shared" si="3"/>
        <v>1.37</v>
      </c>
      <c r="C68" s="503">
        <v>2</v>
      </c>
      <c r="D68" s="192">
        <v>123433.5</v>
      </c>
      <c r="E68" s="40">
        <f t="shared" si="5"/>
        <v>124180</v>
      </c>
      <c r="F68" s="40">
        <f t="shared" si="5"/>
        <v>119506.125</v>
      </c>
      <c r="G68" s="40">
        <f t="shared" si="5"/>
        <v>118872.5</v>
      </c>
      <c r="H68" s="40">
        <f t="shared" si="5"/>
        <v>121239.75</v>
      </c>
      <c r="I68" s="40">
        <f t="shared" si="5"/>
        <v>123140.625</v>
      </c>
      <c r="J68" s="40">
        <f t="shared" si="5"/>
        <v>128576</v>
      </c>
      <c r="K68" s="40">
        <f t="shared" si="5"/>
        <v>158755.5</v>
      </c>
    </row>
    <row r="69" spans="1:11">
      <c r="A69" s="479">
        <v>48</v>
      </c>
      <c r="B69" s="29">
        <f t="shared" si="3"/>
        <v>1.38</v>
      </c>
      <c r="C69" s="503">
        <v>1</v>
      </c>
      <c r="D69" s="192">
        <v>123890</v>
      </c>
      <c r="E69" s="40">
        <f t="shared" si="5"/>
        <v>124665</v>
      </c>
      <c r="F69" s="40">
        <f t="shared" si="5"/>
        <v>119965.5</v>
      </c>
      <c r="G69" s="40">
        <f t="shared" si="5"/>
        <v>119310</v>
      </c>
      <c r="H69" s="40">
        <f t="shared" si="5"/>
        <v>121721</v>
      </c>
      <c r="I69" s="40">
        <f t="shared" si="5"/>
        <v>123687.5</v>
      </c>
      <c r="J69" s="40">
        <f t="shared" si="5"/>
        <v>129276</v>
      </c>
      <c r="K69" s="40">
        <f t="shared" si="5"/>
        <v>160418</v>
      </c>
    </row>
    <row r="70" spans="1:11">
      <c r="A70" s="479">
        <v>49</v>
      </c>
      <c r="B70" s="29">
        <f t="shared" si="3"/>
        <v>1.3900000000000001</v>
      </c>
      <c r="C70" s="503">
        <v>2</v>
      </c>
      <c r="D70" s="192">
        <v>124360</v>
      </c>
      <c r="E70" s="40">
        <f t="shared" si="5"/>
        <v>125155</v>
      </c>
      <c r="F70" s="40">
        <f t="shared" si="5"/>
        <v>120430.125</v>
      </c>
      <c r="G70" s="40">
        <f t="shared" si="5"/>
        <v>119752.5</v>
      </c>
      <c r="H70" s="40">
        <f t="shared" si="5"/>
        <v>122207.75</v>
      </c>
      <c r="I70" s="40">
        <f t="shared" si="5"/>
        <v>124240.625</v>
      </c>
      <c r="J70" s="40">
        <f t="shared" si="5"/>
        <v>129984</v>
      </c>
      <c r="K70" s="40">
        <f t="shared" si="5"/>
        <v>162099.5</v>
      </c>
    </row>
    <row r="71" spans="1:11">
      <c r="A71" s="479">
        <v>50</v>
      </c>
      <c r="B71" s="29">
        <f t="shared" si="3"/>
        <v>1.4</v>
      </c>
      <c r="C71" s="503">
        <v>1</v>
      </c>
      <c r="D71" s="192">
        <v>125087</v>
      </c>
      <c r="E71" s="40">
        <f t="shared" si="5"/>
        <v>125650</v>
      </c>
      <c r="F71" s="40">
        <f t="shared" si="5"/>
        <v>120900</v>
      </c>
      <c r="G71" s="40">
        <f t="shared" si="5"/>
        <v>120200</v>
      </c>
      <c r="H71" s="40">
        <f t="shared" si="5"/>
        <v>122700</v>
      </c>
      <c r="I71" s="40">
        <f t="shared" si="5"/>
        <v>124800</v>
      </c>
      <c r="J71" s="40">
        <f t="shared" si="5"/>
        <v>130700</v>
      </c>
      <c r="K71" s="40">
        <f t="shared" si="5"/>
        <v>163800</v>
      </c>
    </row>
    <row r="72" spans="1:11">
      <c r="A72" s="479">
        <v>51</v>
      </c>
      <c r="B72" s="29">
        <f t="shared" si="3"/>
        <v>1.4100000000000001</v>
      </c>
      <c r="C72" s="503">
        <v>1</v>
      </c>
      <c r="D72" s="192">
        <v>124925</v>
      </c>
      <c r="E72" s="40">
        <f t="shared" si="5"/>
        <v>126150</v>
      </c>
      <c r="F72" s="40">
        <f t="shared" si="5"/>
        <v>121375.125</v>
      </c>
      <c r="G72" s="40">
        <f t="shared" si="5"/>
        <v>120652.5</v>
      </c>
      <c r="H72" s="40">
        <f t="shared" si="5"/>
        <v>123197.75</v>
      </c>
      <c r="I72" s="40">
        <f t="shared" si="5"/>
        <v>125365.625</v>
      </c>
      <c r="J72" s="40">
        <f t="shared" si="5"/>
        <v>131424</v>
      </c>
      <c r="K72" s="40">
        <f t="shared" si="5"/>
        <v>165519.5</v>
      </c>
    </row>
    <row r="73" spans="1:11">
      <c r="A73" s="479">
        <v>52</v>
      </c>
      <c r="B73" s="29">
        <f t="shared" si="3"/>
        <v>1.42</v>
      </c>
      <c r="C73" s="503">
        <v>1</v>
      </c>
      <c r="D73" s="192">
        <v>126020</v>
      </c>
      <c r="E73" s="40">
        <f t="shared" si="5"/>
        <v>126655</v>
      </c>
      <c r="F73" s="40">
        <f t="shared" si="5"/>
        <v>121855.5</v>
      </c>
      <c r="G73" s="40">
        <f t="shared" si="5"/>
        <v>121110</v>
      </c>
      <c r="H73" s="40">
        <f t="shared" si="5"/>
        <v>123701</v>
      </c>
      <c r="I73" s="40">
        <f t="shared" si="5"/>
        <v>125937.5</v>
      </c>
      <c r="J73" s="40">
        <f t="shared" si="5"/>
        <v>132156</v>
      </c>
      <c r="K73" s="40">
        <f t="shared" si="5"/>
        <v>167258</v>
      </c>
    </row>
    <row r="74" spans="1:11">
      <c r="A74" s="479">
        <v>56</v>
      </c>
      <c r="B74" s="29">
        <f t="shared" si="3"/>
        <v>1.46</v>
      </c>
      <c r="C74" s="503">
        <v>2</v>
      </c>
      <c r="D74" s="192"/>
      <c r="E74" s="40">
        <f t="shared" si="5"/>
        <v>128725</v>
      </c>
      <c r="F74" s="40">
        <f t="shared" si="5"/>
        <v>123829.5</v>
      </c>
      <c r="G74" s="40">
        <f t="shared" si="5"/>
        <v>122990</v>
      </c>
      <c r="H74" s="40">
        <f t="shared" si="5"/>
        <v>125769</v>
      </c>
      <c r="I74" s="40">
        <f t="shared" si="5"/>
        <v>128287.5</v>
      </c>
      <c r="J74" s="40">
        <f t="shared" si="5"/>
        <v>135164</v>
      </c>
      <c r="K74" s="40">
        <f t="shared" si="5"/>
        <v>174402</v>
      </c>
    </row>
    <row r="75" spans="1:11">
      <c r="A75" s="479">
        <v>57</v>
      </c>
      <c r="B75" s="29">
        <f t="shared" si="3"/>
        <v>1.47</v>
      </c>
      <c r="C75" s="503">
        <v>1</v>
      </c>
      <c r="D75" s="192"/>
      <c r="E75" s="40">
        <f t="shared" si="5"/>
        <v>129255</v>
      </c>
      <c r="F75" s="40">
        <f t="shared" si="5"/>
        <v>124336.125</v>
      </c>
      <c r="G75" s="40">
        <f t="shared" si="5"/>
        <v>123472.5</v>
      </c>
      <c r="H75" s="40">
        <f t="shared" si="5"/>
        <v>126299.75</v>
      </c>
      <c r="I75" s="40">
        <f t="shared" si="5"/>
        <v>128890.625</v>
      </c>
      <c r="J75" s="40">
        <f t="shared" si="5"/>
        <v>135936</v>
      </c>
      <c r="K75" s="40">
        <f t="shared" si="5"/>
        <v>176235.5</v>
      </c>
    </row>
    <row r="76" spans="1:11">
      <c r="A76" s="479">
        <v>58</v>
      </c>
      <c r="B76" s="29">
        <f t="shared" si="3"/>
        <v>1.48</v>
      </c>
      <c r="C76" s="503"/>
      <c r="D76" s="192"/>
      <c r="E76" s="40">
        <f t="shared" si="5"/>
        <v>129790</v>
      </c>
      <c r="F76" s="40">
        <f t="shared" si="5"/>
        <v>124848</v>
      </c>
      <c r="G76" s="40">
        <f t="shared" si="5"/>
        <v>123960</v>
      </c>
      <c r="H76" s="40">
        <f t="shared" si="5"/>
        <v>126836</v>
      </c>
      <c r="I76" s="40">
        <f t="shared" si="5"/>
        <v>129500</v>
      </c>
      <c r="J76" s="40">
        <f t="shared" si="5"/>
        <v>136716</v>
      </c>
      <c r="K76" s="40">
        <f t="shared" si="5"/>
        <v>178088</v>
      </c>
    </row>
    <row r="77" spans="1:11">
      <c r="A77" s="479">
        <v>59</v>
      </c>
      <c r="B77" s="29">
        <f t="shared" si="3"/>
        <v>1.49</v>
      </c>
      <c r="C77" s="503"/>
      <c r="D77" s="192">
        <v>127072.5</v>
      </c>
      <c r="E77" s="40">
        <f t="shared" si="5"/>
        <v>130330</v>
      </c>
      <c r="F77" s="40">
        <f t="shared" si="5"/>
        <v>125365.125</v>
      </c>
      <c r="G77" s="40">
        <f t="shared" si="5"/>
        <v>124452.5</v>
      </c>
      <c r="H77" s="40">
        <f t="shared" si="5"/>
        <v>127377.75</v>
      </c>
      <c r="I77" s="40">
        <f t="shared" si="5"/>
        <v>130115.625</v>
      </c>
      <c r="J77" s="40">
        <f t="shared" si="5"/>
        <v>137504</v>
      </c>
      <c r="K77" s="40">
        <f t="shared" si="5"/>
        <v>179959.5</v>
      </c>
    </row>
    <row r="78" spans="1:11">
      <c r="A78" s="479">
        <v>60</v>
      </c>
      <c r="B78" s="29">
        <f t="shared" si="3"/>
        <v>1.5</v>
      </c>
      <c r="C78" s="503"/>
      <c r="D78" s="192">
        <v>129910</v>
      </c>
      <c r="E78" s="40">
        <f t="shared" si="5"/>
        <v>130875</v>
      </c>
      <c r="F78" s="40">
        <f t="shared" si="5"/>
        <v>125887.5</v>
      </c>
      <c r="G78" s="40">
        <f t="shared" si="5"/>
        <v>124950</v>
      </c>
      <c r="H78" s="40">
        <f t="shared" si="5"/>
        <v>127925</v>
      </c>
      <c r="I78" s="40">
        <f t="shared" si="5"/>
        <v>130737.5</v>
      </c>
      <c r="J78" s="40">
        <f t="shared" si="5"/>
        <v>138300</v>
      </c>
      <c r="K78" s="40">
        <f t="shared" si="5"/>
        <v>181850</v>
      </c>
    </row>
    <row r="79" spans="1:11">
      <c r="A79" s="479">
        <v>61</v>
      </c>
      <c r="B79" s="29">
        <f t="shared" si="3"/>
        <v>1.51</v>
      </c>
      <c r="C79" s="503"/>
      <c r="D79" s="192"/>
      <c r="E79" s="40">
        <f t="shared" si="5"/>
        <v>131425</v>
      </c>
      <c r="F79" s="40">
        <f t="shared" si="5"/>
        <v>126415.125</v>
      </c>
      <c r="G79" s="40">
        <f t="shared" si="5"/>
        <v>125452.5</v>
      </c>
      <c r="H79" s="40">
        <f t="shared" si="5"/>
        <v>128477.75</v>
      </c>
      <c r="I79" s="40">
        <f t="shared" si="5"/>
        <v>131365.625</v>
      </c>
      <c r="J79" s="40">
        <f t="shared" si="5"/>
        <v>139104</v>
      </c>
      <c r="K79" s="40">
        <f t="shared" si="5"/>
        <v>183759.5</v>
      </c>
    </row>
    <row r="80" spans="1:11">
      <c r="A80" s="479">
        <v>62</v>
      </c>
      <c r="B80" s="29">
        <f t="shared" si="3"/>
        <v>1.52</v>
      </c>
      <c r="C80" s="503">
        <v>1</v>
      </c>
      <c r="D80" s="192"/>
      <c r="E80" s="40">
        <f t="shared" si="5"/>
        <v>131980</v>
      </c>
      <c r="F80" s="40">
        <f t="shared" si="5"/>
        <v>126948</v>
      </c>
      <c r="G80" s="40">
        <f t="shared" si="5"/>
        <v>125960</v>
      </c>
      <c r="H80" s="40">
        <f t="shared" si="5"/>
        <v>129036</v>
      </c>
      <c r="I80" s="40">
        <f t="shared" si="5"/>
        <v>132000</v>
      </c>
      <c r="J80" s="40">
        <f t="shared" si="5"/>
        <v>139916</v>
      </c>
      <c r="K80" s="40">
        <f t="shared" si="5"/>
        <v>185688</v>
      </c>
    </row>
    <row r="81" spans="1:11">
      <c r="A81" s="479">
        <v>63</v>
      </c>
      <c r="B81" s="29">
        <f t="shared" si="3"/>
        <v>1.53</v>
      </c>
      <c r="C81" s="503"/>
      <c r="D81" s="192"/>
      <c r="E81" s="40">
        <f t="shared" si="5"/>
        <v>132540</v>
      </c>
      <c r="F81" s="40">
        <f t="shared" si="5"/>
        <v>127486.125</v>
      </c>
      <c r="G81" s="40">
        <f t="shared" si="5"/>
        <v>126472.5</v>
      </c>
      <c r="H81" s="40">
        <f t="shared" si="5"/>
        <v>129599.75</v>
      </c>
      <c r="I81" s="40">
        <f t="shared" si="5"/>
        <v>132640.625</v>
      </c>
      <c r="J81" s="40">
        <f t="shared" si="5"/>
        <v>140736</v>
      </c>
      <c r="K81" s="40">
        <f t="shared" si="5"/>
        <v>187635.5</v>
      </c>
    </row>
    <row r="82" spans="1:11">
      <c r="A82" s="479">
        <v>64</v>
      </c>
      <c r="B82" s="29">
        <f t="shared" si="3"/>
        <v>1.54</v>
      </c>
      <c r="C82" s="503"/>
      <c r="D82" s="192"/>
      <c r="E82" s="40">
        <f t="shared" si="5"/>
        <v>133105</v>
      </c>
      <c r="F82" s="40">
        <f t="shared" si="5"/>
        <v>128029.5</v>
      </c>
      <c r="G82" s="40">
        <f t="shared" si="5"/>
        <v>126990</v>
      </c>
      <c r="H82" s="40">
        <f t="shared" si="5"/>
        <v>130169</v>
      </c>
      <c r="I82" s="40">
        <f t="shared" si="5"/>
        <v>133287.5</v>
      </c>
      <c r="J82" s="40">
        <f t="shared" si="5"/>
        <v>141564</v>
      </c>
      <c r="K82" s="40">
        <f t="shared" si="5"/>
        <v>189602</v>
      </c>
    </row>
    <row r="83" spans="1:11">
      <c r="A83" s="479">
        <v>65</v>
      </c>
      <c r="B83" s="29">
        <f t="shared" si="3"/>
        <v>1.55</v>
      </c>
      <c r="C83" s="503"/>
      <c r="D83" s="192">
        <v>129200</v>
      </c>
      <c r="E83" s="40">
        <f t="shared" si="5"/>
        <v>133675</v>
      </c>
      <c r="F83" s="40">
        <f t="shared" si="5"/>
        <v>128578.125</v>
      </c>
      <c r="G83" s="40">
        <f t="shared" si="5"/>
        <v>127512.5</v>
      </c>
      <c r="H83" s="40">
        <f t="shared" si="5"/>
        <v>130743.75</v>
      </c>
      <c r="I83" s="40">
        <f t="shared" si="5"/>
        <v>133940.625</v>
      </c>
      <c r="J83" s="40">
        <f t="shared" si="5"/>
        <v>142400</v>
      </c>
      <c r="K83" s="40">
        <f t="shared" si="5"/>
        <v>191587.5</v>
      </c>
    </row>
    <row r="84" spans="1:11">
      <c r="A84" s="479">
        <v>66</v>
      </c>
      <c r="B84" s="29">
        <f t="shared" si="3"/>
        <v>1.56</v>
      </c>
      <c r="C84" s="503"/>
      <c r="D84" s="192"/>
      <c r="E84" s="40">
        <f t="shared" si="5"/>
        <v>134250</v>
      </c>
      <c r="F84" s="40">
        <f t="shared" si="5"/>
        <v>129132</v>
      </c>
      <c r="G84" s="40">
        <f t="shared" si="5"/>
        <v>128040</v>
      </c>
      <c r="H84" s="40">
        <f t="shared" si="5"/>
        <v>131324</v>
      </c>
      <c r="I84" s="40">
        <f t="shared" si="5"/>
        <v>134600</v>
      </c>
      <c r="J84" s="40">
        <f t="shared" si="5"/>
        <v>143244</v>
      </c>
      <c r="K84" s="40">
        <f t="shared" si="5"/>
        <v>193592</v>
      </c>
    </row>
    <row r="85" spans="1:11">
      <c r="A85" s="479">
        <v>67</v>
      </c>
      <c r="B85" s="29">
        <f t="shared" si="3"/>
        <v>1.57</v>
      </c>
      <c r="C85" s="503"/>
      <c r="D85" s="192"/>
      <c r="E85" s="40">
        <f t="shared" si="5"/>
        <v>134830</v>
      </c>
      <c r="F85" s="40">
        <f t="shared" si="5"/>
        <v>129691.125</v>
      </c>
      <c r="G85" s="40">
        <f t="shared" si="5"/>
        <v>128572.5</v>
      </c>
      <c r="H85" s="40">
        <f t="shared" si="5"/>
        <v>131909.75</v>
      </c>
      <c r="I85" s="40">
        <f t="shared" si="5"/>
        <v>135265.625</v>
      </c>
      <c r="J85" s="40">
        <f t="shared" si="5"/>
        <v>144096</v>
      </c>
      <c r="K85" s="40">
        <f t="shared" si="5"/>
        <v>195615.5</v>
      </c>
    </row>
    <row r="86" spans="1:11">
      <c r="A86" s="479">
        <v>68</v>
      </c>
      <c r="B86" s="29">
        <f t="shared" si="3"/>
        <v>1.58</v>
      </c>
      <c r="C86" s="503"/>
      <c r="D86" s="192"/>
      <c r="E86" s="40">
        <f t="shared" si="5"/>
        <v>135415</v>
      </c>
      <c r="F86" s="40">
        <f t="shared" si="5"/>
        <v>130255.5</v>
      </c>
      <c r="G86" s="40">
        <f t="shared" si="5"/>
        <v>129110</v>
      </c>
      <c r="H86" s="40">
        <f t="shared" si="5"/>
        <v>132501</v>
      </c>
      <c r="I86" s="40">
        <f t="shared" si="5"/>
        <v>135937.5</v>
      </c>
      <c r="J86" s="40">
        <f t="shared" si="5"/>
        <v>144956</v>
      </c>
      <c r="K86" s="40">
        <f t="shared" si="5"/>
        <v>197658</v>
      </c>
    </row>
    <row r="87" spans="1:11">
      <c r="A87" s="479">
        <v>69</v>
      </c>
      <c r="B87" s="29">
        <f t="shared" si="3"/>
        <v>1.5899999999999999</v>
      </c>
      <c r="C87" s="503"/>
      <c r="D87" s="192"/>
      <c r="E87" s="40">
        <f t="shared" si="5"/>
        <v>136005</v>
      </c>
      <c r="F87" s="40">
        <f t="shared" si="5"/>
        <v>130825.125</v>
      </c>
      <c r="G87" s="40">
        <f t="shared" si="5"/>
        <v>129652.5</v>
      </c>
      <c r="H87" s="40">
        <f t="shared" si="5"/>
        <v>133097.75</v>
      </c>
      <c r="I87" s="40">
        <f t="shared" si="5"/>
        <v>136615.625</v>
      </c>
      <c r="J87" s="40">
        <f t="shared" si="5"/>
        <v>145824</v>
      </c>
      <c r="K87" s="40">
        <f t="shared" si="5"/>
        <v>199719.5</v>
      </c>
    </row>
    <row r="88" spans="1:11">
      <c r="A88" s="479">
        <v>70</v>
      </c>
      <c r="B88" s="29">
        <f t="shared" si="3"/>
        <v>1.6</v>
      </c>
      <c r="C88" s="503">
        <v>1</v>
      </c>
      <c r="D88" s="192"/>
      <c r="E88" s="40">
        <f t="shared" si="5"/>
        <v>136600</v>
      </c>
      <c r="F88" s="40">
        <f t="shared" si="5"/>
        <v>131400</v>
      </c>
      <c r="G88" s="40">
        <f t="shared" si="5"/>
        <v>130200</v>
      </c>
      <c r="H88" s="40">
        <f t="shared" si="5"/>
        <v>133700</v>
      </c>
      <c r="I88" s="40">
        <f t="shared" si="5"/>
        <v>137300</v>
      </c>
      <c r="J88" s="40">
        <f t="shared" si="5"/>
        <v>146700</v>
      </c>
      <c r="K88" s="40">
        <f t="shared" si="5"/>
        <v>201800</v>
      </c>
    </row>
    <row r="89" spans="1:11">
      <c r="A89" s="479">
        <v>71</v>
      </c>
      <c r="B89" s="29">
        <f t="shared" si="3"/>
        <v>1.6099999999999999</v>
      </c>
      <c r="C89" s="503"/>
      <c r="D89" s="192"/>
      <c r="E89" s="40">
        <f t="shared" si="5"/>
        <v>137200</v>
      </c>
      <c r="F89" s="40">
        <f t="shared" si="5"/>
        <v>131980.125</v>
      </c>
      <c r="G89" s="40">
        <f t="shared" si="5"/>
        <v>130752.5</v>
      </c>
      <c r="H89" s="40">
        <f t="shared" si="5"/>
        <v>134307.75</v>
      </c>
      <c r="I89" s="40">
        <f t="shared" si="5"/>
        <v>137990.625</v>
      </c>
      <c r="J89" s="40">
        <f t="shared" si="5"/>
        <v>147584</v>
      </c>
      <c r="K89" s="40">
        <f t="shared" si="5"/>
        <v>203899.5</v>
      </c>
    </row>
    <row r="90" spans="1:11">
      <c r="A90" s="479">
        <v>72</v>
      </c>
      <c r="B90" s="29">
        <f t="shared" si="3"/>
        <v>1.62</v>
      </c>
      <c r="C90" s="503"/>
      <c r="D90" s="192"/>
      <c r="E90" s="40">
        <f t="shared" si="5"/>
        <v>137805</v>
      </c>
      <c r="F90" s="40">
        <f t="shared" si="5"/>
        <v>132565.5</v>
      </c>
      <c r="G90" s="40">
        <f t="shared" si="5"/>
        <v>131310</v>
      </c>
      <c r="H90" s="40">
        <f t="shared" si="5"/>
        <v>134921</v>
      </c>
      <c r="I90" s="40">
        <f t="shared" si="5"/>
        <v>138687.5</v>
      </c>
      <c r="J90" s="40">
        <f t="shared" si="5"/>
        <v>148476</v>
      </c>
      <c r="K90" s="40">
        <f t="shared" si="5"/>
        <v>206018</v>
      </c>
    </row>
    <row r="91" spans="1:11">
      <c r="A91" s="479">
        <v>73</v>
      </c>
      <c r="B91" s="29">
        <f t="shared" si="3"/>
        <v>1.63</v>
      </c>
      <c r="C91" s="503">
        <v>2</v>
      </c>
      <c r="D91" s="192">
        <v>133000</v>
      </c>
      <c r="E91" s="40">
        <f t="shared" si="5"/>
        <v>138415</v>
      </c>
      <c r="F91" s="40">
        <f t="shared" si="5"/>
        <v>133156.125</v>
      </c>
      <c r="G91" s="40">
        <f t="shared" si="5"/>
        <v>131872.5</v>
      </c>
      <c r="H91" s="40">
        <f t="shared" si="5"/>
        <v>135539.75</v>
      </c>
      <c r="I91" s="40">
        <f t="shared" si="5"/>
        <v>139390.625</v>
      </c>
      <c r="J91" s="40">
        <f t="shared" si="5"/>
        <v>149376</v>
      </c>
      <c r="K91" s="40">
        <f t="shared" si="5"/>
        <v>208155.5</v>
      </c>
    </row>
    <row r="92" spans="1:11">
      <c r="A92" s="479">
        <v>74</v>
      </c>
      <c r="B92" s="29">
        <f t="shared" si="3"/>
        <v>1.6400000000000001</v>
      </c>
      <c r="C92" s="503"/>
      <c r="D92" s="192"/>
      <c r="E92" s="40">
        <f t="shared" si="5"/>
        <v>139030</v>
      </c>
      <c r="F92" s="40">
        <f t="shared" si="5"/>
        <v>133752</v>
      </c>
      <c r="G92" s="40">
        <f t="shared" si="5"/>
        <v>132440</v>
      </c>
      <c r="H92" s="40">
        <f t="shared" si="5"/>
        <v>136164</v>
      </c>
      <c r="I92" s="40">
        <f t="shared" si="5"/>
        <v>140100</v>
      </c>
      <c r="J92" s="40">
        <f t="shared" si="5"/>
        <v>150284</v>
      </c>
      <c r="K92" s="40">
        <f t="shared" si="5"/>
        <v>210312</v>
      </c>
    </row>
    <row r="93" spans="1:11">
      <c r="A93" s="479">
        <v>75</v>
      </c>
      <c r="B93" s="29">
        <f t="shared" si="3"/>
        <v>1.65</v>
      </c>
      <c r="C93" s="503"/>
      <c r="D93" s="192"/>
      <c r="E93" s="40">
        <f t="shared" si="5"/>
        <v>139650</v>
      </c>
      <c r="F93" s="40">
        <f t="shared" si="5"/>
        <v>134353.125</v>
      </c>
      <c r="G93" s="40">
        <f t="shared" si="5"/>
        <v>133012.5</v>
      </c>
      <c r="H93" s="40">
        <f t="shared" si="5"/>
        <v>136793.75</v>
      </c>
      <c r="I93" s="40">
        <f t="shared" si="5"/>
        <v>140815.625</v>
      </c>
      <c r="J93" s="40">
        <f t="shared" si="5"/>
        <v>151200</v>
      </c>
      <c r="K93" s="40">
        <f t="shared" si="5"/>
        <v>212487.5</v>
      </c>
    </row>
    <row r="94" spans="1:11">
      <c r="A94" s="479">
        <v>76</v>
      </c>
      <c r="B94" s="29">
        <f t="shared" si="3"/>
        <v>1.6600000000000001</v>
      </c>
      <c r="C94" s="503">
        <v>1</v>
      </c>
      <c r="D94" s="192">
        <v>135055</v>
      </c>
      <c r="E94" s="40">
        <f t="shared" si="5"/>
        <v>140275</v>
      </c>
      <c r="F94" s="40">
        <f t="shared" si="5"/>
        <v>134959.5</v>
      </c>
      <c r="G94" s="40">
        <f t="shared" si="5"/>
        <v>133590</v>
      </c>
      <c r="H94" s="40">
        <f t="shared" si="5"/>
        <v>137429</v>
      </c>
      <c r="I94" s="40">
        <f t="shared" si="5"/>
        <v>141537.5</v>
      </c>
      <c r="J94" s="40">
        <f t="shared" si="5"/>
        <v>152124</v>
      </c>
      <c r="K94" s="40">
        <f t="shared" si="5"/>
        <v>214682</v>
      </c>
    </row>
    <row r="95" spans="1:11">
      <c r="A95" s="479">
        <v>77</v>
      </c>
      <c r="B95" s="29">
        <f t="shared" si="3"/>
        <v>1.67</v>
      </c>
      <c r="C95" s="503"/>
      <c r="D95" s="192"/>
      <c r="E95" s="40">
        <f t="shared" si="5"/>
        <v>140905</v>
      </c>
      <c r="F95" s="40">
        <f t="shared" si="5"/>
        <v>135571.125</v>
      </c>
      <c r="G95" s="40">
        <f t="shared" si="5"/>
        <v>134172.5</v>
      </c>
      <c r="H95" s="40">
        <f t="shared" ref="E95:K103" si="6">+H$3*H$7+(H$5*10+($A95-10)*H$6)*$B95/2</f>
        <v>138069.75</v>
      </c>
      <c r="I95" s="40">
        <f t="shared" si="6"/>
        <v>142265.625</v>
      </c>
      <c r="J95" s="40">
        <f t="shared" si="6"/>
        <v>153056</v>
      </c>
      <c r="K95" s="40">
        <f t="shared" si="6"/>
        <v>216895.5</v>
      </c>
    </row>
    <row r="96" spans="1:11">
      <c r="A96" s="479">
        <v>78</v>
      </c>
      <c r="B96" s="29">
        <f t="shared" si="3"/>
        <v>1.6800000000000002</v>
      </c>
      <c r="C96" s="503"/>
      <c r="D96" s="192"/>
      <c r="E96" s="40">
        <f t="shared" si="6"/>
        <v>141540</v>
      </c>
      <c r="F96" s="40">
        <f t="shared" si="6"/>
        <v>136188</v>
      </c>
      <c r="G96" s="40">
        <f t="shared" si="6"/>
        <v>134760</v>
      </c>
      <c r="H96" s="40">
        <f t="shared" si="6"/>
        <v>138716</v>
      </c>
      <c r="I96" s="40">
        <f t="shared" si="6"/>
        <v>143000</v>
      </c>
      <c r="J96" s="40">
        <f t="shared" si="6"/>
        <v>153996</v>
      </c>
      <c r="K96" s="40">
        <f t="shared" si="6"/>
        <v>219128</v>
      </c>
    </row>
    <row r="97" spans="1:11">
      <c r="A97" s="479">
        <v>79</v>
      </c>
      <c r="B97" s="29">
        <f t="shared" si="3"/>
        <v>1.69</v>
      </c>
      <c r="C97" s="503">
        <v>1</v>
      </c>
      <c r="D97" s="192">
        <v>135250</v>
      </c>
      <c r="E97" s="40">
        <f t="shared" si="6"/>
        <v>142180</v>
      </c>
      <c r="F97" s="40">
        <f t="shared" si="6"/>
        <v>136810.125</v>
      </c>
      <c r="G97" s="40">
        <f t="shared" si="6"/>
        <v>135352.5</v>
      </c>
      <c r="H97" s="40">
        <f t="shared" si="6"/>
        <v>139367.75</v>
      </c>
      <c r="I97" s="40">
        <f t="shared" si="6"/>
        <v>143740.625</v>
      </c>
      <c r="J97" s="40">
        <f t="shared" si="6"/>
        <v>154944</v>
      </c>
      <c r="K97" s="40">
        <f t="shared" si="6"/>
        <v>221379.5</v>
      </c>
    </row>
    <row r="98" spans="1:11">
      <c r="A98" s="479">
        <v>80</v>
      </c>
      <c r="B98" s="29">
        <f t="shared" si="3"/>
        <v>1.7000000000000002</v>
      </c>
      <c r="C98" s="503"/>
      <c r="D98" s="192"/>
      <c r="E98" s="40">
        <f t="shared" si="6"/>
        <v>142825</v>
      </c>
      <c r="F98" s="40">
        <f t="shared" si="6"/>
        <v>137437.5</v>
      </c>
      <c r="G98" s="40">
        <f t="shared" si="6"/>
        <v>135950</v>
      </c>
      <c r="H98" s="40">
        <f t="shared" si="6"/>
        <v>140025</v>
      </c>
      <c r="I98" s="40">
        <f t="shared" si="6"/>
        <v>144487.5</v>
      </c>
      <c r="J98" s="40">
        <f t="shared" si="6"/>
        <v>155900</v>
      </c>
      <c r="K98" s="40">
        <f t="shared" si="6"/>
        <v>223650</v>
      </c>
    </row>
    <row r="99" spans="1:11">
      <c r="A99" s="479">
        <v>81</v>
      </c>
      <c r="B99" s="29">
        <f t="shared" si="3"/>
        <v>1.71</v>
      </c>
      <c r="C99" s="503">
        <v>1</v>
      </c>
      <c r="D99" s="192"/>
      <c r="E99" s="40">
        <f t="shared" si="6"/>
        <v>143475</v>
      </c>
      <c r="F99" s="40">
        <f t="shared" si="6"/>
        <v>138070.125</v>
      </c>
      <c r="G99" s="40">
        <f t="shared" si="6"/>
        <v>136552.5</v>
      </c>
      <c r="H99" s="40">
        <f t="shared" si="6"/>
        <v>140687.75</v>
      </c>
      <c r="I99" s="40">
        <f t="shared" si="6"/>
        <v>145240.625</v>
      </c>
      <c r="J99" s="40">
        <f t="shared" si="6"/>
        <v>156864</v>
      </c>
      <c r="K99" s="40">
        <f t="shared" si="6"/>
        <v>225939.5</v>
      </c>
    </row>
    <row r="100" spans="1:11">
      <c r="A100" s="479">
        <v>82</v>
      </c>
      <c r="B100" s="29">
        <f t="shared" si="3"/>
        <v>1.72</v>
      </c>
      <c r="C100" s="503"/>
      <c r="D100" s="192">
        <v>137230</v>
      </c>
      <c r="E100" s="40">
        <f t="shared" si="6"/>
        <v>144130</v>
      </c>
      <c r="F100" s="40">
        <f t="shared" si="6"/>
        <v>138708</v>
      </c>
      <c r="G100" s="40">
        <f t="shared" si="6"/>
        <v>137160</v>
      </c>
      <c r="H100" s="40">
        <f t="shared" si="6"/>
        <v>141356</v>
      </c>
      <c r="I100" s="40">
        <f t="shared" si="6"/>
        <v>146000</v>
      </c>
      <c r="J100" s="40">
        <f t="shared" si="6"/>
        <v>157836</v>
      </c>
      <c r="K100" s="40">
        <f t="shared" si="6"/>
        <v>228248</v>
      </c>
    </row>
    <row r="101" spans="1:11">
      <c r="A101" s="479">
        <v>83</v>
      </c>
      <c r="B101" s="29">
        <f t="shared" ref="B101:B103" si="7">$B$35+(A101-10)*0.01</f>
        <v>1.73</v>
      </c>
      <c r="C101" s="503"/>
      <c r="D101" s="192"/>
      <c r="E101" s="40">
        <f t="shared" si="6"/>
        <v>144790</v>
      </c>
      <c r="F101" s="40">
        <f t="shared" si="6"/>
        <v>139351.125</v>
      </c>
      <c r="G101" s="40">
        <f t="shared" si="6"/>
        <v>137772.5</v>
      </c>
      <c r="H101" s="40">
        <f t="shared" si="6"/>
        <v>142029.75</v>
      </c>
      <c r="I101" s="40">
        <f t="shared" si="6"/>
        <v>146765.625</v>
      </c>
      <c r="J101" s="40">
        <f t="shared" si="6"/>
        <v>158816</v>
      </c>
      <c r="K101" s="40">
        <f t="shared" si="6"/>
        <v>230575.5</v>
      </c>
    </row>
    <row r="102" spans="1:11">
      <c r="A102" s="479">
        <v>84</v>
      </c>
      <c r="B102" s="29">
        <f t="shared" si="7"/>
        <v>1.74</v>
      </c>
      <c r="C102" s="503"/>
      <c r="D102" s="192">
        <v>139790</v>
      </c>
      <c r="E102" s="40">
        <f t="shared" si="6"/>
        <v>145455</v>
      </c>
      <c r="F102" s="40">
        <f t="shared" si="6"/>
        <v>139999.5</v>
      </c>
      <c r="G102" s="40">
        <f t="shared" si="6"/>
        <v>138390</v>
      </c>
      <c r="H102" s="40">
        <f t="shared" si="6"/>
        <v>142709</v>
      </c>
      <c r="I102" s="40">
        <f t="shared" si="6"/>
        <v>147537.5</v>
      </c>
      <c r="J102" s="40">
        <f t="shared" si="6"/>
        <v>159804</v>
      </c>
      <c r="K102" s="40">
        <f t="shared" si="6"/>
        <v>232922</v>
      </c>
    </row>
    <row r="103" spans="1:11">
      <c r="A103" s="479">
        <v>89</v>
      </c>
      <c r="B103" s="29">
        <f t="shared" si="7"/>
        <v>1.79</v>
      </c>
      <c r="C103" s="503">
        <v>1</v>
      </c>
      <c r="D103" s="192">
        <v>142245</v>
      </c>
      <c r="E103" s="40">
        <f t="shared" si="6"/>
        <v>148855</v>
      </c>
      <c r="F103" s="40">
        <f t="shared" si="6"/>
        <v>143320.125</v>
      </c>
      <c r="G103" s="40">
        <f t="shared" si="6"/>
        <v>141552.5</v>
      </c>
      <c r="H103" s="40">
        <f t="shared" si="6"/>
        <v>146187.75</v>
      </c>
      <c r="I103" s="40">
        <f t="shared" si="6"/>
        <v>151490.625</v>
      </c>
      <c r="J103" s="40">
        <f t="shared" si="6"/>
        <v>164864</v>
      </c>
      <c r="K103" s="40">
        <f t="shared" si="6"/>
        <v>244939.5</v>
      </c>
    </row>
    <row r="104" spans="1:11">
      <c r="A104" s="479"/>
      <c r="C104" s="503">
        <f>+SUM(C31:C103)</f>
        <v>111</v>
      </c>
      <c r="D104" s="192"/>
      <c r="E104" s="607">
        <f>+SUMPRODUCT(E31:E103,$C$31:$C$103)/$C$104</f>
        <v>116646.84684684685</v>
      </c>
      <c r="F104" s="607">
        <f t="shared" ref="F104:K104" si="8">+SUMPRODUCT(F31:F103,$C$31:$C$103)/$C$104</f>
        <v>112695.81081081081</v>
      </c>
      <c r="G104" s="607">
        <f t="shared" si="8"/>
        <v>112386.48648648648</v>
      </c>
      <c r="H104" s="607">
        <f t="shared" si="8"/>
        <v>114105.13513513513</v>
      </c>
      <c r="I104" s="607">
        <f t="shared" si="8"/>
        <v>115033.10810810811</v>
      </c>
      <c r="J104" s="607">
        <f t="shared" si="8"/>
        <v>118198.37837837837</v>
      </c>
      <c r="K104" s="607">
        <f t="shared" si="8"/>
        <v>134108.64864864864</v>
      </c>
    </row>
    <row r="105" spans="1:11">
      <c r="D105" s="23"/>
    </row>
    <row r="106" spans="1:11">
      <c r="D106" s="23"/>
    </row>
    <row r="107" spans="1:11">
      <c r="D107" s="23"/>
    </row>
    <row r="108" spans="1:11">
      <c r="D108" s="23"/>
    </row>
    <row r="109" spans="1:11">
      <c r="D109" s="23"/>
    </row>
  </sheetData>
  <mergeCells count="1">
    <mergeCell ref="C29:D29"/>
  </mergeCells>
  <conditionalFormatting sqref="L22:L26">
    <cfRule type="colorScale" priority="19">
      <colorScale>
        <cfvo type="min"/>
        <cfvo type="max"/>
        <color rgb="FFFFEF9C"/>
        <color rgb="FF63BE7B"/>
      </colorScale>
    </cfRule>
  </conditionalFormatting>
  <conditionalFormatting sqref="L22:L26">
    <cfRule type="colorScale" priority="17">
      <colorScale>
        <cfvo type="min"/>
        <cfvo type="max"/>
        <color rgb="FFFFEF9C"/>
        <color rgb="FF63BE7B"/>
      </colorScale>
    </cfRule>
  </conditionalFormatting>
  <conditionalFormatting sqref="G22:H26">
    <cfRule type="colorScale" priority="11">
      <colorScale>
        <cfvo type="min"/>
        <cfvo type="percentile" val="50"/>
        <cfvo type="max"/>
        <color rgb="FFF8696B"/>
        <color rgb="FFFFEB84"/>
        <color rgb="FF63BE7B"/>
      </colorScale>
    </cfRule>
  </conditionalFormatting>
  <conditionalFormatting sqref="I22:J26">
    <cfRule type="colorScale" priority="9">
      <colorScale>
        <cfvo type="min"/>
        <cfvo type="percentile" val="50"/>
        <cfvo type="max"/>
        <color rgb="FFF8696B"/>
        <color rgb="FFFFEB84"/>
        <color rgb="FF63BE7B"/>
      </colorScale>
    </cfRule>
  </conditionalFormatting>
  <conditionalFormatting sqref="K22:K26">
    <cfRule type="colorScale" priority="7">
      <colorScale>
        <cfvo type="min"/>
        <cfvo type="max"/>
        <color rgb="FFFFEF9C"/>
        <color rgb="FF63BE7B"/>
      </colorScale>
    </cfRule>
  </conditionalFormatting>
  <conditionalFormatting sqref="G14:H18">
    <cfRule type="colorScale" priority="4">
      <colorScale>
        <cfvo type="min"/>
        <cfvo type="percentile" val="50"/>
        <cfvo type="max"/>
        <color rgb="FFF8696B"/>
        <color rgb="FFFFEB84"/>
        <color rgb="FF63BE7B"/>
      </colorScale>
    </cfRule>
  </conditionalFormatting>
  <conditionalFormatting sqref="G14:J18">
    <cfRule type="colorScale" priority="3">
      <colorScale>
        <cfvo type="min"/>
        <cfvo type="percentile" val="50"/>
        <cfvo type="max"/>
        <color rgb="FFF8696B"/>
        <color rgb="FFFFEB84"/>
        <color rgb="FF63BE7B"/>
      </colorScale>
    </cfRule>
  </conditionalFormatting>
  <conditionalFormatting sqref="K14:K18">
    <cfRule type="colorScale" priority="1">
      <colorScale>
        <cfvo type="min"/>
        <cfvo type="percentile" val="50"/>
        <cfvo type="max"/>
        <color rgb="FFF8696B"/>
        <color rgb="FFFFEB84"/>
        <color rgb="FF63BE7B"/>
      </colorScale>
    </cfRule>
  </conditionalFormatting>
  <pageMargins left="0" right="0" top="0" bottom="0" header="0.31496062992126" footer="0.31496062992126"/>
  <pageSetup paperSize="9" scale="70"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0"/>
  <sheetViews>
    <sheetView tabSelected="1" topLeftCell="A9" zoomScaleNormal="100" zoomScaleSheetLayoutView="115" workbookViewId="0">
      <selection activeCell="E22" sqref="E22"/>
    </sheetView>
  </sheetViews>
  <sheetFormatPr defaultColWidth="8.85546875" defaultRowHeight="17.25"/>
  <cols>
    <col min="1" max="1" width="43.140625" style="28" bestFit="1" customWidth="1"/>
    <col min="2" max="2" width="17.28515625" style="52" customWidth="1"/>
    <col min="3" max="3" width="16.42578125" style="52" bestFit="1" customWidth="1"/>
    <col min="4" max="5" width="16.42578125" style="52" customWidth="1"/>
    <col min="6" max="6" width="18.42578125" style="52" bestFit="1" customWidth="1"/>
    <col min="7" max="8" width="15.42578125" style="28" bestFit="1" customWidth="1"/>
    <col min="9" max="9" width="15.28515625" style="28" bestFit="1" customWidth="1"/>
    <col min="10" max="10" width="15.42578125" style="28" bestFit="1" customWidth="1"/>
    <col min="11" max="11" width="15.42578125" style="28" customWidth="1"/>
    <col min="12" max="12" width="15.42578125" style="28" bestFit="1" customWidth="1"/>
    <col min="13" max="13" width="15.42578125" style="28" customWidth="1"/>
    <col min="14" max="14" width="15.85546875" style="28" bestFit="1" customWidth="1"/>
    <col min="15" max="15" width="15.85546875" style="28" customWidth="1"/>
    <col min="16" max="16" width="16" style="28" bestFit="1" customWidth="1"/>
    <col min="17" max="17" width="16.42578125" style="28" customWidth="1"/>
    <col min="18" max="18" width="16.42578125" style="28" bestFit="1" customWidth="1"/>
    <col min="19" max="19" width="14.7109375" style="28" bestFit="1" customWidth="1"/>
    <col min="20" max="20" width="14.5703125" style="28" bestFit="1" customWidth="1"/>
    <col min="21" max="21" width="13.7109375" style="28" bestFit="1" customWidth="1"/>
    <col min="22" max="16384" width="8.85546875" style="28"/>
  </cols>
  <sheetData>
    <row r="1" spans="1:21">
      <c r="B1" s="28"/>
      <c r="C1" s="28"/>
      <c r="D1" s="28"/>
      <c r="E1" s="28"/>
      <c r="F1" s="28"/>
      <c r="G1" s="52"/>
      <c r="I1" s="194"/>
    </row>
    <row r="2" spans="1:21" s="22" customFormat="1" ht="34.5">
      <c r="A2" s="42" t="s">
        <v>54</v>
      </c>
      <c r="B2" s="42"/>
      <c r="C2" s="42"/>
      <c r="D2" s="42"/>
      <c r="E2" s="42"/>
      <c r="F2" s="42"/>
      <c r="G2" s="56">
        <v>2021</v>
      </c>
      <c r="H2" s="56">
        <v>2022</v>
      </c>
      <c r="I2" s="194"/>
      <c r="J2" s="354" t="s">
        <v>217</v>
      </c>
      <c r="K2" s="354" t="s">
        <v>218</v>
      </c>
      <c r="L2" s="354" t="s">
        <v>219</v>
      </c>
      <c r="M2" s="354" t="s">
        <v>220</v>
      </c>
      <c r="N2" s="354" t="s">
        <v>221</v>
      </c>
      <c r="O2" s="354" t="s">
        <v>222</v>
      </c>
      <c r="P2" s="223">
        <v>2026</v>
      </c>
    </row>
    <row r="3" spans="1:21" s="22" customFormat="1">
      <c r="A3" s="45" t="s">
        <v>51</v>
      </c>
      <c r="B3" s="45"/>
      <c r="C3" s="45"/>
      <c r="D3" s="45"/>
      <c r="E3" s="45"/>
      <c r="F3" s="45"/>
      <c r="G3" s="43">
        <f>+ընդհանուր!C67</f>
        <v>26500</v>
      </c>
      <c r="H3" s="43">
        <f>+ընդհանուր!D67</f>
        <v>28600</v>
      </c>
      <c r="I3" s="194"/>
      <c r="J3" s="43">
        <f>+ընդհանուր!E67</f>
        <v>31600</v>
      </c>
      <c r="K3" s="43">
        <f>+ընդհանուր!F67</f>
        <v>36000</v>
      </c>
      <c r="L3" s="43">
        <f>+ընդհանուր!G67</f>
        <v>36000</v>
      </c>
      <c r="M3" s="43">
        <f>+ընդհանուր!H67</f>
        <v>37000</v>
      </c>
      <c r="N3" s="43">
        <f>+ընդհանուր!I67</f>
        <v>37000</v>
      </c>
      <c r="O3" s="43">
        <f>+ընդհանուր!J67</f>
        <v>38000</v>
      </c>
      <c r="P3" s="43">
        <f>+ընդհանուր!K67</f>
        <v>39500</v>
      </c>
    </row>
    <row r="4" spans="1:21" s="22" customFormat="1">
      <c r="A4" s="45" t="s">
        <v>52</v>
      </c>
      <c r="B4" s="45"/>
      <c r="C4" s="45"/>
      <c r="D4" s="45"/>
      <c r="E4" s="45"/>
      <c r="F4" s="45"/>
      <c r="G4" s="43">
        <f>+ընդհանուր!C68</f>
        <v>26500</v>
      </c>
      <c r="H4" s="43">
        <f>+ընդհանուր!D68</f>
        <v>37000</v>
      </c>
      <c r="I4" s="194"/>
      <c r="J4" s="43">
        <f>+ընդհանուր!E68</f>
        <v>39000</v>
      </c>
      <c r="K4" s="43">
        <f>+ընդհանուր!F68</f>
        <v>41000</v>
      </c>
      <c r="L4" s="43">
        <f>+ընդհանուր!G68</f>
        <v>41000</v>
      </c>
      <c r="M4" s="43">
        <f>+ընդհանուր!H68</f>
        <v>42000</v>
      </c>
      <c r="N4" s="43">
        <f>+ընդհանուր!I68</f>
        <v>42000</v>
      </c>
      <c r="O4" s="43">
        <f>+ընդհանուր!J68</f>
        <v>43000</v>
      </c>
      <c r="P4" s="43">
        <f>+ընդհանուր!K68</f>
        <v>43500</v>
      </c>
    </row>
    <row r="5" spans="1:21" s="22" customFormat="1">
      <c r="A5" s="45" t="s">
        <v>33</v>
      </c>
      <c r="B5" s="45"/>
      <c r="C5" s="45"/>
      <c r="D5" s="45"/>
      <c r="E5" s="45"/>
      <c r="F5" s="45"/>
      <c r="G5" s="43">
        <f>+ընդհանուր!C69</f>
        <v>26500</v>
      </c>
      <c r="H5" s="43">
        <f>+ընդհանուր!D69</f>
        <v>28600</v>
      </c>
      <c r="I5" s="194"/>
      <c r="J5" s="43">
        <f>+ընդհանուր!E69</f>
        <v>31600</v>
      </c>
      <c r="K5" s="43">
        <f>+ընդհանուր!F69</f>
        <v>39600</v>
      </c>
      <c r="L5" s="43">
        <f>+ընդհանուր!G69</f>
        <v>39600</v>
      </c>
      <c r="M5" s="43">
        <f>+ընդհանուր!H69</f>
        <v>40600</v>
      </c>
      <c r="N5" s="43">
        <f>+ընդհանուր!I69</f>
        <v>40600</v>
      </c>
      <c r="O5" s="43">
        <f>+ընդհանուր!J69</f>
        <v>41600</v>
      </c>
      <c r="P5" s="43">
        <f>+ընդհանուր!K69</f>
        <v>43500</v>
      </c>
    </row>
    <row r="6" spans="1:21" s="22" customFormat="1">
      <c r="A6" s="45" t="s">
        <v>34</v>
      </c>
      <c r="B6" s="45"/>
      <c r="C6" s="45"/>
      <c r="D6" s="45"/>
      <c r="E6" s="45"/>
      <c r="F6" s="45"/>
      <c r="G6" s="43">
        <f>+ընդհանուր!C70</f>
        <v>26500</v>
      </c>
      <c r="H6" s="43">
        <f>+ընդհանուր!D70</f>
        <v>28600</v>
      </c>
      <c r="I6" s="194"/>
      <c r="J6" s="43">
        <f>+ընդհանուր!E70</f>
        <v>31600</v>
      </c>
      <c r="K6" s="43">
        <f>+ընդհանուր!F70</f>
        <v>37800</v>
      </c>
      <c r="L6" s="43">
        <f>+ընդհանուր!G70</f>
        <v>37800</v>
      </c>
      <c r="M6" s="43">
        <f>+ընդհանուր!H70</f>
        <v>38800</v>
      </c>
      <c r="N6" s="43">
        <f>+ընդհանուր!I70</f>
        <v>38800</v>
      </c>
      <c r="O6" s="43">
        <f>+ընդհանուր!J70</f>
        <v>39800</v>
      </c>
      <c r="P6" s="43">
        <f>+ընդհանուր!K70</f>
        <v>41500</v>
      </c>
    </row>
    <row r="7" spans="1:21" s="22" customFormat="1">
      <c r="A7" s="45" t="s">
        <v>35</v>
      </c>
      <c r="B7" s="45"/>
      <c r="C7" s="45"/>
      <c r="D7" s="45"/>
      <c r="E7" s="45"/>
      <c r="F7" s="45"/>
      <c r="G7" s="43">
        <f>+ընդհանուր!C71</f>
        <v>26500</v>
      </c>
      <c r="H7" s="43">
        <f>+ընդհանուր!D71</f>
        <v>28600</v>
      </c>
      <c r="I7" s="194"/>
      <c r="J7" s="43">
        <f>+ընդհանուր!E71</f>
        <v>31600</v>
      </c>
      <c r="K7" s="43">
        <f>+ընդհանուր!F71</f>
        <v>36000</v>
      </c>
      <c r="L7" s="43">
        <f>+ընդհանուր!G71</f>
        <v>36000</v>
      </c>
      <c r="M7" s="43">
        <f>+ընդհանուր!H71</f>
        <v>37000</v>
      </c>
      <c r="N7" s="43">
        <f>+ընդհանուր!I71</f>
        <v>37000</v>
      </c>
      <c r="O7" s="43">
        <f>+ընդհանուր!J71</f>
        <v>38000</v>
      </c>
      <c r="P7" s="43">
        <f>+ընդհանուր!K71</f>
        <v>39500</v>
      </c>
    </row>
    <row r="8" spans="1:21" s="22" customFormat="1" ht="33">
      <c r="A8" s="44" t="s">
        <v>194</v>
      </c>
      <c r="B8" s="44"/>
      <c r="C8" s="44"/>
      <c r="D8" s="44"/>
      <c r="E8" s="44"/>
      <c r="F8" s="44"/>
      <c r="G8" s="43">
        <f>+ընդհանուր!C72</f>
        <v>26500</v>
      </c>
      <c r="H8" s="43">
        <f>+ընդհանուր!D72</f>
        <v>28600</v>
      </c>
      <c r="I8" s="194"/>
      <c r="J8" s="43">
        <f>+ընդհանուր!E72</f>
        <v>31600</v>
      </c>
      <c r="K8" s="43">
        <f>+ընդհանուր!F72</f>
        <v>36000</v>
      </c>
      <c r="L8" s="43">
        <f>+ընդհանուր!G72</f>
        <v>36000</v>
      </c>
      <c r="M8" s="43">
        <f>+ընդհանուր!H72</f>
        <v>37000</v>
      </c>
      <c r="N8" s="43">
        <f>+ընդհանուր!I72</f>
        <v>37000</v>
      </c>
      <c r="O8" s="43">
        <f>+ընդհանուր!J72</f>
        <v>38000</v>
      </c>
      <c r="P8" s="43">
        <f>+ընդհանուր!K72</f>
        <v>39500</v>
      </c>
    </row>
    <row r="9" spans="1:21" s="22" customFormat="1" ht="33">
      <c r="A9" s="44" t="s">
        <v>53</v>
      </c>
      <c r="B9" s="44"/>
      <c r="C9" s="44"/>
      <c r="D9" s="44"/>
      <c r="E9" s="44"/>
      <c r="F9" s="44"/>
      <c r="G9" s="43">
        <f>+ընդհանուր!C73</f>
        <v>90000</v>
      </c>
      <c r="H9" s="43">
        <f>+ընդհանուր!D73</f>
        <v>90000</v>
      </c>
      <c r="I9" s="194"/>
      <c r="J9" s="43">
        <f>+ընդհանուր!E73</f>
        <v>105000</v>
      </c>
      <c r="K9" s="43">
        <f>+ընդհանուր!F73</f>
        <v>106200</v>
      </c>
      <c r="L9" s="43">
        <f>+ընդհանուր!G73</f>
        <v>106200</v>
      </c>
      <c r="M9" s="43">
        <f>+ընդհանուր!H73</f>
        <v>107300</v>
      </c>
      <c r="N9" s="43">
        <f>+ընդհանուր!I73</f>
        <v>107300</v>
      </c>
      <c r="O9" s="43">
        <f>+ընդհանուր!J73</f>
        <v>108300</v>
      </c>
      <c r="P9" s="43">
        <f>+ընդհանուր!K73</f>
        <v>110600</v>
      </c>
    </row>
    <row r="10" spans="1:21">
      <c r="I10" s="194"/>
      <c r="J10" s="461"/>
    </row>
    <row r="11" spans="1:21">
      <c r="H11" s="28" t="s">
        <v>186</v>
      </c>
      <c r="I11" s="194"/>
      <c r="M11" s="246">
        <f t="shared" ref="M11:S11" si="0">+M15/1000000</f>
        <v>17.262607199999998</v>
      </c>
      <c r="N11" s="246">
        <f t="shared" si="0"/>
        <v>19.743121200000001</v>
      </c>
      <c r="O11" s="246">
        <f t="shared" si="0"/>
        <v>19.743121200000001</v>
      </c>
      <c r="P11" s="246">
        <f t="shared" si="0"/>
        <v>20.3362698</v>
      </c>
      <c r="Q11" s="246">
        <f t="shared" si="0"/>
        <v>20.3362698</v>
      </c>
      <c r="R11" s="246">
        <f t="shared" si="0"/>
        <v>20.938958399999997</v>
      </c>
      <c r="S11" s="246">
        <f t="shared" si="0"/>
        <v>43.298047200000006</v>
      </c>
    </row>
    <row r="12" spans="1:21">
      <c r="G12" s="52"/>
      <c r="H12" s="52"/>
      <c r="I12" s="52"/>
      <c r="J12" s="52"/>
      <c r="M12" s="368">
        <f>+ընդհանուր!F6</f>
        <v>6</v>
      </c>
      <c r="N12" s="368">
        <f>+ընդհանուր!G6</f>
        <v>6</v>
      </c>
      <c r="O12" s="368">
        <f>+ընդհանուր!H6</f>
        <v>6</v>
      </c>
      <c r="P12" s="368">
        <f>+ընդհանուր!I6</f>
        <v>6</v>
      </c>
      <c r="Q12" s="368">
        <f>+ընդհանուր!J6</f>
        <v>6</v>
      </c>
      <c r="R12" s="368">
        <f>+ընդհանուր!K6</f>
        <v>6</v>
      </c>
      <c r="S12" s="368">
        <v>12</v>
      </c>
    </row>
    <row r="13" spans="1:21" ht="51.75">
      <c r="A13" s="42"/>
      <c r="B13" s="221" t="s">
        <v>168</v>
      </c>
      <c r="C13" s="221" t="s">
        <v>169</v>
      </c>
      <c r="D13" s="221" t="s">
        <v>193</v>
      </c>
      <c r="E13" s="221" t="s">
        <v>267</v>
      </c>
      <c r="F13" s="221" t="s">
        <v>268</v>
      </c>
      <c r="G13" s="221" t="s">
        <v>269</v>
      </c>
      <c r="H13" s="221" t="s">
        <v>270</v>
      </c>
      <c r="I13" s="221" t="s">
        <v>271</v>
      </c>
      <c r="J13" s="56">
        <v>2026</v>
      </c>
      <c r="K13" s="56">
        <v>2021</v>
      </c>
      <c r="L13" s="56">
        <v>2022</v>
      </c>
      <c r="M13" s="354" t="s">
        <v>217</v>
      </c>
      <c r="N13" s="354" t="s">
        <v>218</v>
      </c>
      <c r="O13" s="354" t="s">
        <v>219</v>
      </c>
      <c r="P13" s="354" t="s">
        <v>220</v>
      </c>
      <c r="Q13" s="354" t="s">
        <v>221</v>
      </c>
      <c r="R13" s="354" t="s">
        <v>222</v>
      </c>
      <c r="S13" s="223">
        <v>2026</v>
      </c>
    </row>
    <row r="14" spans="1:21">
      <c r="A14" s="42"/>
      <c r="B14" s="28"/>
      <c r="C14" s="28"/>
      <c r="D14" s="28"/>
      <c r="E14" s="28"/>
      <c r="G14" s="52"/>
      <c r="H14" s="52"/>
      <c r="I14" s="52"/>
      <c r="J14" s="52"/>
      <c r="K14" s="42"/>
      <c r="L14" s="42"/>
      <c r="M14" s="42"/>
      <c r="N14" s="42"/>
      <c r="O14" s="42"/>
      <c r="P14" s="42"/>
      <c r="Q14" s="42"/>
      <c r="R14" s="42"/>
      <c r="S14" s="42"/>
    </row>
    <row r="15" spans="1:21">
      <c r="A15" s="51" t="s">
        <v>55</v>
      </c>
      <c r="B15" s="54">
        <f t="shared" ref="B15:S15" si="1">SUM(B16:B22)</f>
        <v>80872.499999999985</v>
      </c>
      <c r="C15" s="54">
        <f t="shared" si="1"/>
        <v>85866</v>
      </c>
      <c r="D15" s="54">
        <f t="shared" si="1"/>
        <v>86470</v>
      </c>
      <c r="E15" s="54">
        <f>SUM(E16:E22)</f>
        <v>88695</v>
      </c>
      <c r="F15" s="462"/>
      <c r="G15" s="462"/>
      <c r="H15" s="462"/>
      <c r="I15" s="462"/>
      <c r="J15" s="462"/>
      <c r="K15" s="54">
        <f t="shared" si="1"/>
        <v>25799465.249999996</v>
      </c>
      <c r="L15" s="54">
        <f t="shared" si="1"/>
        <v>30436636.799999997</v>
      </c>
      <c r="M15" s="54">
        <f>SUM(M16:M22)</f>
        <v>17262607.199999999</v>
      </c>
      <c r="N15" s="54">
        <f>SUM(N16:N22)</f>
        <v>19743121.199999999</v>
      </c>
      <c r="O15" s="54">
        <f>SUM(O16:O22)</f>
        <v>19743121.199999999</v>
      </c>
      <c r="P15" s="54">
        <f t="shared" ref="P15" si="2">SUM(P16:P22)</f>
        <v>20336269.800000001</v>
      </c>
      <c r="Q15" s="54">
        <f t="shared" ref="Q15:R15" si="3">SUM(Q16:Q22)</f>
        <v>20336269.800000001</v>
      </c>
      <c r="R15" s="54">
        <f t="shared" si="3"/>
        <v>20938958.399999999</v>
      </c>
      <c r="S15" s="54">
        <f t="shared" si="1"/>
        <v>43298047.200000003</v>
      </c>
      <c r="T15" s="52"/>
      <c r="U15" s="194"/>
    </row>
    <row r="16" spans="1:21">
      <c r="A16" s="53" t="s">
        <v>51</v>
      </c>
      <c r="B16" s="55">
        <v>11580.449999999999</v>
      </c>
      <c r="C16" s="55">
        <v>14658</v>
      </c>
      <c r="D16" s="55">
        <v>11937</v>
      </c>
      <c r="E16" s="55">
        <v>17568</v>
      </c>
      <c r="F16" s="463">
        <v>0.03</v>
      </c>
      <c r="G16" s="464">
        <f>+ROUND(E16*(1+F16/4),0)</f>
        <v>17700</v>
      </c>
      <c r="H16" s="464">
        <f>+ROUND(G16*(1+F16),0)</f>
        <v>18231</v>
      </c>
      <c r="I16" s="464">
        <f>+ROUND(H16*(1+F16),0)</f>
        <v>18778</v>
      </c>
      <c r="J16" s="464">
        <f>+H16</f>
        <v>18231</v>
      </c>
      <c r="K16" s="219">
        <f t="shared" ref="K16:K22" si="4">+$B16*G3*12/1000</f>
        <v>3682583.1</v>
      </c>
      <c r="L16" s="219">
        <f t="shared" ref="L16:L22" si="5">+$C16*H3*12/1000</f>
        <v>5030625.5999999996</v>
      </c>
      <c r="M16" s="219">
        <f t="shared" ref="M16:M22" si="6">+$E16*J3*M$12/1000</f>
        <v>3330892.8</v>
      </c>
      <c r="N16" s="219">
        <f t="shared" ref="N16:N22" si="7">+G16*K3*$N$12/1000</f>
        <v>3823200</v>
      </c>
      <c r="O16" s="219">
        <f t="shared" ref="O16:O22" si="8">+G16*L3*$O$12/1000</f>
        <v>3823200</v>
      </c>
      <c r="P16" s="219">
        <f t="shared" ref="P16:P22" si="9">+H16*$P$12*M3/1000</f>
        <v>4047282</v>
      </c>
      <c r="Q16" s="219">
        <f t="shared" ref="Q16:Q22" si="10">+$H16*N3*Q$12/1000</f>
        <v>4047282</v>
      </c>
      <c r="R16" s="219">
        <f t="shared" ref="R16:R22" si="11">O3*R$12*I16/1000</f>
        <v>4281384</v>
      </c>
      <c r="S16" s="219">
        <f t="shared" ref="S16:S22" si="12">+$J16*P3*$S$12/1000</f>
        <v>8641494</v>
      </c>
      <c r="T16" s="52"/>
      <c r="U16" s="194"/>
    </row>
    <row r="17" spans="1:22" ht="34.5">
      <c r="A17" s="53" t="s">
        <v>50</v>
      </c>
      <c r="B17" s="55">
        <v>8329.15</v>
      </c>
      <c r="C17" s="55">
        <v>8311</v>
      </c>
      <c r="D17" s="55">
        <v>8669</v>
      </c>
      <c r="E17" s="55">
        <v>8558</v>
      </c>
      <c r="F17" s="465">
        <v>5.0000000000000001E-3</v>
      </c>
      <c r="G17" s="464">
        <f t="shared" ref="G17:G22" si="13">+ROUND(E17*(1+F17/4),0)</f>
        <v>8569</v>
      </c>
      <c r="H17" s="464">
        <f t="shared" ref="H17:H22" si="14">+ROUND(G17*(1+F17),0)</f>
        <v>8612</v>
      </c>
      <c r="I17" s="464">
        <f t="shared" ref="I17:I22" si="15">+ROUND(H17*(1+F17),0)</f>
        <v>8655</v>
      </c>
      <c r="J17" s="464">
        <f t="shared" ref="J17:J22" si="16">+H17</f>
        <v>8612</v>
      </c>
      <c r="K17" s="219">
        <f t="shared" si="4"/>
        <v>2648669.7000000002</v>
      </c>
      <c r="L17" s="219">
        <f t="shared" si="5"/>
        <v>3690084</v>
      </c>
      <c r="M17" s="219">
        <f t="shared" si="6"/>
        <v>2002572</v>
      </c>
      <c r="N17" s="219">
        <f t="shared" si="7"/>
        <v>2107974</v>
      </c>
      <c r="O17" s="219">
        <f t="shared" si="8"/>
        <v>2107974</v>
      </c>
      <c r="P17" s="219">
        <f t="shared" si="9"/>
        <v>2170224</v>
      </c>
      <c r="Q17" s="219">
        <f t="shared" si="10"/>
        <v>2170224</v>
      </c>
      <c r="R17" s="219">
        <f t="shared" si="11"/>
        <v>2232990</v>
      </c>
      <c r="S17" s="219">
        <f t="shared" si="12"/>
        <v>4495464</v>
      </c>
      <c r="T17" s="52"/>
      <c r="U17" s="194"/>
      <c r="V17" s="52"/>
    </row>
    <row r="18" spans="1:22">
      <c r="A18" s="53" t="s">
        <v>47</v>
      </c>
      <c r="B18" s="55">
        <v>3729.9749999999995</v>
      </c>
      <c r="C18" s="55">
        <v>3636</v>
      </c>
      <c r="D18" s="55">
        <v>3832</v>
      </c>
      <c r="E18" s="55">
        <v>3726</v>
      </c>
      <c r="F18" s="465">
        <v>0</v>
      </c>
      <c r="G18" s="464">
        <f t="shared" si="13"/>
        <v>3726</v>
      </c>
      <c r="H18" s="464">
        <f t="shared" si="14"/>
        <v>3726</v>
      </c>
      <c r="I18" s="464">
        <f t="shared" si="15"/>
        <v>3726</v>
      </c>
      <c r="J18" s="464">
        <f t="shared" si="16"/>
        <v>3726</v>
      </c>
      <c r="K18" s="219">
        <f t="shared" si="4"/>
        <v>1186132.0499999998</v>
      </c>
      <c r="L18" s="219">
        <f t="shared" si="5"/>
        <v>1247875.2</v>
      </c>
      <c r="M18" s="219">
        <f t="shared" si="6"/>
        <v>706449.6</v>
      </c>
      <c r="N18" s="219">
        <f t="shared" si="7"/>
        <v>885297.6</v>
      </c>
      <c r="O18" s="219">
        <f t="shared" si="8"/>
        <v>885297.6</v>
      </c>
      <c r="P18" s="219">
        <f t="shared" si="9"/>
        <v>907653.6</v>
      </c>
      <c r="Q18" s="219">
        <f t="shared" si="10"/>
        <v>907653.6</v>
      </c>
      <c r="R18" s="219">
        <f t="shared" si="11"/>
        <v>930009.59999999998</v>
      </c>
      <c r="S18" s="219">
        <f t="shared" si="12"/>
        <v>1944972</v>
      </c>
      <c r="T18" s="52"/>
      <c r="U18" s="194"/>
    </row>
    <row r="19" spans="1:22">
      <c r="A19" s="53" t="s">
        <v>48</v>
      </c>
      <c r="B19" s="55">
        <v>16075.074999999999</v>
      </c>
      <c r="C19" s="55">
        <v>15894</v>
      </c>
      <c r="D19" s="55">
        <v>16926</v>
      </c>
      <c r="E19" s="55">
        <v>15758</v>
      </c>
      <c r="F19" s="465">
        <v>0</v>
      </c>
      <c r="G19" s="464">
        <f t="shared" si="13"/>
        <v>15758</v>
      </c>
      <c r="H19" s="464">
        <f t="shared" si="14"/>
        <v>15758</v>
      </c>
      <c r="I19" s="464">
        <f t="shared" si="15"/>
        <v>15758</v>
      </c>
      <c r="J19" s="464">
        <f t="shared" si="16"/>
        <v>15758</v>
      </c>
      <c r="K19" s="219">
        <f t="shared" si="4"/>
        <v>5111873.8499999996</v>
      </c>
      <c r="L19" s="219">
        <f t="shared" si="5"/>
        <v>5454820.7999999998</v>
      </c>
      <c r="M19" s="219">
        <f t="shared" si="6"/>
        <v>2987716.8</v>
      </c>
      <c r="N19" s="219">
        <f t="shared" si="7"/>
        <v>3573914.4</v>
      </c>
      <c r="O19" s="219">
        <f t="shared" si="8"/>
        <v>3573914.4</v>
      </c>
      <c r="P19" s="219">
        <f t="shared" si="9"/>
        <v>3668462.4</v>
      </c>
      <c r="Q19" s="219">
        <f t="shared" si="10"/>
        <v>3668462.4</v>
      </c>
      <c r="R19" s="219">
        <f t="shared" si="11"/>
        <v>3763010.4</v>
      </c>
      <c r="S19" s="219">
        <f t="shared" si="12"/>
        <v>7847484</v>
      </c>
      <c r="T19" s="52"/>
      <c r="U19" s="194"/>
    </row>
    <row r="20" spans="1:22">
      <c r="A20" s="53" t="s">
        <v>49</v>
      </c>
      <c r="B20" s="55">
        <v>29087.449999999997</v>
      </c>
      <c r="C20" s="55">
        <v>29535</v>
      </c>
      <c r="D20" s="55">
        <v>31177</v>
      </c>
      <c r="E20" s="55">
        <v>29650</v>
      </c>
      <c r="F20" s="465">
        <f t="shared" ref="F20" si="17">+ROUND(E20/C20,2)-1</f>
        <v>0</v>
      </c>
      <c r="G20" s="464">
        <f t="shared" si="13"/>
        <v>29650</v>
      </c>
      <c r="H20" s="464">
        <f t="shared" si="14"/>
        <v>29650</v>
      </c>
      <c r="I20" s="464">
        <f t="shared" si="15"/>
        <v>29650</v>
      </c>
      <c r="J20" s="464">
        <f t="shared" si="16"/>
        <v>29650</v>
      </c>
      <c r="K20" s="219">
        <f t="shared" si="4"/>
        <v>9249809.0999999978</v>
      </c>
      <c r="L20" s="219">
        <f t="shared" si="5"/>
        <v>10136412</v>
      </c>
      <c r="M20" s="219">
        <f t="shared" si="6"/>
        <v>5621640</v>
      </c>
      <c r="N20" s="219">
        <f t="shared" si="7"/>
        <v>6404400</v>
      </c>
      <c r="O20" s="219">
        <f t="shared" si="8"/>
        <v>6404400</v>
      </c>
      <c r="P20" s="219">
        <f t="shared" si="9"/>
        <v>6582300</v>
      </c>
      <c r="Q20" s="219">
        <f t="shared" si="10"/>
        <v>6582300</v>
      </c>
      <c r="R20" s="219">
        <f t="shared" si="11"/>
        <v>6760200</v>
      </c>
      <c r="S20" s="219">
        <f t="shared" si="12"/>
        <v>14054100</v>
      </c>
      <c r="T20" s="52"/>
      <c r="U20" s="194"/>
    </row>
    <row r="21" spans="1:22" ht="51.75">
      <c r="A21" s="53" t="s">
        <v>45</v>
      </c>
      <c r="B21" s="55">
        <v>11962.775</v>
      </c>
      <c r="C21" s="55">
        <v>13656</v>
      </c>
      <c r="D21" s="55">
        <f>4363+9401</f>
        <v>13764</v>
      </c>
      <c r="E21" s="55">
        <v>13285</v>
      </c>
      <c r="F21" s="465">
        <v>-0.02</v>
      </c>
      <c r="G21" s="464">
        <f t="shared" si="13"/>
        <v>13219</v>
      </c>
      <c r="H21" s="464">
        <f t="shared" si="14"/>
        <v>12955</v>
      </c>
      <c r="I21" s="464">
        <f t="shared" si="15"/>
        <v>12696</v>
      </c>
      <c r="J21" s="464">
        <f t="shared" si="16"/>
        <v>12955</v>
      </c>
      <c r="K21" s="219">
        <f t="shared" si="4"/>
        <v>3804162.45</v>
      </c>
      <c r="L21" s="219">
        <f t="shared" si="5"/>
        <v>4686739.2</v>
      </c>
      <c r="M21" s="219">
        <f t="shared" si="6"/>
        <v>2518836</v>
      </c>
      <c r="N21" s="219">
        <f t="shared" si="7"/>
        <v>2855304</v>
      </c>
      <c r="O21" s="219">
        <f t="shared" si="8"/>
        <v>2855304</v>
      </c>
      <c r="P21" s="219">
        <f t="shared" si="9"/>
        <v>2876010</v>
      </c>
      <c r="Q21" s="219">
        <f t="shared" si="10"/>
        <v>2876010</v>
      </c>
      <c r="R21" s="219">
        <f t="shared" si="11"/>
        <v>2894688</v>
      </c>
      <c r="S21" s="219">
        <f t="shared" si="12"/>
        <v>6140670</v>
      </c>
      <c r="T21" s="52"/>
      <c r="U21" s="194"/>
    </row>
    <row r="22" spans="1:22" ht="51.75">
      <c r="A22" s="53" t="s">
        <v>46</v>
      </c>
      <c r="B22" s="55">
        <v>107.62499999999999</v>
      </c>
      <c r="C22" s="55">
        <v>176</v>
      </c>
      <c r="D22" s="55">
        <v>165</v>
      </c>
      <c r="E22" s="55">
        <v>150</v>
      </c>
      <c r="F22" s="465">
        <v>-0.1</v>
      </c>
      <c r="G22" s="464">
        <f t="shared" si="13"/>
        <v>146</v>
      </c>
      <c r="H22" s="464">
        <f t="shared" si="14"/>
        <v>131</v>
      </c>
      <c r="I22" s="464">
        <f t="shared" si="15"/>
        <v>118</v>
      </c>
      <c r="J22" s="464">
        <f t="shared" si="16"/>
        <v>131</v>
      </c>
      <c r="K22" s="219">
        <f t="shared" si="4"/>
        <v>116234.99999999997</v>
      </c>
      <c r="L22" s="219">
        <f t="shared" si="5"/>
        <v>190080</v>
      </c>
      <c r="M22" s="219">
        <f t="shared" si="6"/>
        <v>94500</v>
      </c>
      <c r="N22" s="219">
        <f t="shared" si="7"/>
        <v>93031.2</v>
      </c>
      <c r="O22" s="219">
        <f t="shared" si="8"/>
        <v>93031.2</v>
      </c>
      <c r="P22" s="219">
        <f t="shared" si="9"/>
        <v>84337.8</v>
      </c>
      <c r="Q22" s="219">
        <f t="shared" si="10"/>
        <v>84337.8</v>
      </c>
      <c r="R22" s="219">
        <f t="shared" si="11"/>
        <v>76676.399999999994</v>
      </c>
      <c r="S22" s="219">
        <f t="shared" si="12"/>
        <v>173863.2</v>
      </c>
      <c r="T22" s="52"/>
      <c r="U22" s="194"/>
    </row>
    <row r="23" spans="1:22">
      <c r="A23" s="249"/>
      <c r="B23" s="249"/>
      <c r="C23" s="249"/>
      <c r="D23" s="249"/>
      <c r="E23" s="249"/>
      <c r="F23" s="249"/>
      <c r="G23" s="249"/>
      <c r="H23" s="249"/>
      <c r="I23" s="249"/>
      <c r="J23" s="249"/>
      <c r="K23" s="249"/>
      <c r="L23" s="249"/>
      <c r="M23" s="249">
        <f>+E15*J10*K10</f>
        <v>0</v>
      </c>
      <c r="N23" s="249"/>
      <c r="O23" s="249">
        <f>+M23*L10*M10</f>
        <v>0</v>
      </c>
      <c r="P23" s="249"/>
      <c r="Q23" s="249">
        <f>+O23*N10*O10</f>
        <v>0</v>
      </c>
      <c r="R23" s="249"/>
      <c r="S23" s="249"/>
    </row>
    <row r="24" spans="1:22">
      <c r="B24" s="28"/>
      <c r="C24" s="28"/>
      <c r="D24" s="28"/>
      <c r="E24" s="28"/>
      <c r="F24" s="393"/>
      <c r="K24" s="403">
        <f>+E16*K10</f>
        <v>0</v>
      </c>
      <c r="N24" s="403" t="e">
        <f>+#REF!*K10</f>
        <v>#REF!</v>
      </c>
    </row>
    <row r="25" spans="1:22">
      <c r="B25" s="28"/>
      <c r="C25" s="28"/>
      <c r="D25" s="28"/>
      <c r="E25" s="28"/>
      <c r="F25" s="393"/>
    </row>
    <row r="26" spans="1:22">
      <c r="B26" s="28"/>
      <c r="C26" s="28"/>
      <c r="D26" s="28"/>
      <c r="E26" s="28"/>
      <c r="F26" s="393"/>
    </row>
    <row r="27" spans="1:22">
      <c r="B27" s="28"/>
      <c r="C27" s="28"/>
      <c r="D27" s="28"/>
      <c r="E27" s="28"/>
      <c r="F27" s="393"/>
    </row>
    <row r="28" spans="1:22">
      <c r="B28" s="28"/>
      <c r="C28" s="28"/>
      <c r="D28" s="28"/>
      <c r="E28" s="28"/>
      <c r="F28" s="393"/>
    </row>
    <row r="29" spans="1:22">
      <c r="B29" s="28"/>
      <c r="C29" s="28"/>
      <c r="D29" s="28"/>
      <c r="E29" s="28"/>
      <c r="F29" s="393"/>
    </row>
    <row r="30" spans="1:22">
      <c r="F30" s="393"/>
    </row>
  </sheetData>
  <pageMargins left="0.70866141732283472" right="0.70866141732283472" top="0.74803149606299213" bottom="0.74803149606299213" header="0.31496062992125984" footer="0.31496062992125984"/>
  <pageSetup paperSize="9" scale="86" orientation="landscape" r:id="rId1"/>
  <rowBreaks count="1" manualBreakCount="1">
    <brk id="24"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F15"/>
  <sheetViews>
    <sheetView workbookViewId="0">
      <selection activeCell="P14" sqref="P14"/>
    </sheetView>
  </sheetViews>
  <sheetFormatPr defaultColWidth="9.140625" defaultRowHeight="13.5"/>
  <cols>
    <col min="1" max="1" width="2.42578125" style="179" customWidth="1"/>
    <col min="2" max="2" width="29" style="179" customWidth="1"/>
    <col min="3" max="4" width="12.42578125" style="179" customWidth="1"/>
    <col min="5" max="5" width="11.7109375" style="179" customWidth="1"/>
    <col min="6" max="6" width="12.140625" style="179" customWidth="1"/>
    <col min="7" max="7" width="13.28515625" style="179" customWidth="1"/>
    <col min="8" max="8" width="12.42578125" style="179" customWidth="1"/>
    <col min="9" max="9" width="12.140625" style="179" customWidth="1"/>
    <col min="10" max="10" width="13.28515625" style="179" customWidth="1"/>
    <col min="11" max="12" width="12.42578125" style="179" customWidth="1"/>
    <col min="13" max="13" width="12.140625" style="179" customWidth="1"/>
    <col min="14" max="15" width="13.28515625" style="179" customWidth="1"/>
    <col min="16" max="17" width="12.42578125" style="179" customWidth="1"/>
    <col min="18" max="18" width="12.140625" style="179" customWidth="1"/>
    <col min="19" max="20" width="13.28515625" style="179" customWidth="1"/>
    <col min="21" max="22" width="12.42578125" style="179" customWidth="1"/>
    <col min="23" max="23" width="12.140625" style="179" customWidth="1"/>
    <col min="24" max="25" width="13.28515625" style="179" customWidth="1"/>
    <col min="26" max="27" width="12.42578125" style="179" customWidth="1"/>
    <col min="28" max="28" width="12.140625" style="179" customWidth="1"/>
    <col min="29" max="29" width="13.28515625" style="179" customWidth="1"/>
    <col min="30" max="30" width="12.42578125" style="179" customWidth="1"/>
    <col min="31" max="31" width="9.140625" style="179"/>
    <col min="32" max="32" width="12.28515625" style="179" bestFit="1" customWidth="1"/>
    <col min="33" max="16384" width="9.140625" style="179"/>
  </cols>
  <sheetData>
    <row r="2" spans="2:32">
      <c r="B2" s="177" t="s">
        <v>157</v>
      </c>
      <c r="C2" s="178"/>
      <c r="D2" s="178"/>
    </row>
    <row r="3" spans="2:32">
      <c r="B3" s="177"/>
      <c r="C3" s="178"/>
      <c r="D3" s="178"/>
      <c r="F3" s="180" t="s">
        <v>87</v>
      </c>
      <c r="G3" s="181">
        <f>+ընդհանուր!C48</f>
        <v>40000</v>
      </c>
      <c r="I3" s="180"/>
      <c r="J3" s="181">
        <f>+ընդհանուր!D48</f>
        <v>43000</v>
      </c>
      <c r="M3" s="180"/>
      <c r="P3" s="181">
        <f>+ընդհանուր!E57</f>
        <v>46000</v>
      </c>
      <c r="Q3" s="181">
        <f>+ընդհանուր!F57</f>
        <v>50600</v>
      </c>
      <c r="R3" s="180"/>
      <c r="U3" s="181">
        <f>+ընդհանուր!G57</f>
        <v>50600</v>
      </c>
      <c r="V3" s="181">
        <f>+ընդհանուր!H57</f>
        <v>53600</v>
      </c>
      <c r="W3" s="180"/>
      <c r="Z3" s="181">
        <f>+ընդհանուր!I57</f>
        <v>56800</v>
      </c>
      <c r="AA3" s="181">
        <f>+ընդհանուր!J57</f>
        <v>60200</v>
      </c>
      <c r="AC3" s="181">
        <f>+ընդհանուր!K57</f>
        <v>63800</v>
      </c>
    </row>
    <row r="4" spans="2:32">
      <c r="B4" s="177"/>
      <c r="C4" s="178"/>
      <c r="D4" s="178"/>
      <c r="F4" s="180" t="s">
        <v>90</v>
      </c>
      <c r="G4" s="181">
        <f>+ընդհանուր!C49</f>
        <v>30000</v>
      </c>
      <c r="I4" s="180"/>
      <c r="J4" s="181">
        <f>+ընդհանուր!D49</f>
        <v>33000</v>
      </c>
      <c r="M4" s="180"/>
      <c r="P4" s="181">
        <f>+ընդհանուր!E58</f>
        <v>36000</v>
      </c>
      <c r="Q4" s="181">
        <f>+ընդհանուր!F58</f>
        <v>41400</v>
      </c>
      <c r="R4" s="180"/>
      <c r="U4" s="181">
        <f>+ընդհանուր!G58</f>
        <v>41400</v>
      </c>
      <c r="V4" s="181">
        <f>+ընդհանուր!H58</f>
        <v>43900</v>
      </c>
      <c r="W4" s="180"/>
      <c r="Z4" s="181">
        <f>+ընդհանուր!I58</f>
        <v>46500</v>
      </c>
      <c r="AA4" s="181">
        <f>+ընդհանուր!J58</f>
        <v>49300</v>
      </c>
      <c r="AC4" s="181">
        <f>+ընդհանուր!K58</f>
        <v>52300</v>
      </c>
    </row>
    <row r="5" spans="2:32">
      <c r="B5" s="182"/>
      <c r="F5" s="180" t="s">
        <v>92</v>
      </c>
      <c r="G5" s="181">
        <f>+ընդհանուր!C50</f>
        <v>27000</v>
      </c>
      <c r="I5" s="180"/>
      <c r="J5" s="181">
        <f>+ընդհանուր!D50</f>
        <v>30000</v>
      </c>
      <c r="M5" s="180"/>
      <c r="P5" s="181">
        <f>+ընդհանուր!E59</f>
        <v>33000</v>
      </c>
      <c r="Q5" s="181">
        <f>+ընդհանուր!F59</f>
        <v>38000</v>
      </c>
      <c r="R5" s="180"/>
      <c r="U5" s="181">
        <f>+ընդհանուր!G59</f>
        <v>38000</v>
      </c>
      <c r="V5" s="181">
        <f>+ընդհանուր!H59</f>
        <v>40300</v>
      </c>
      <c r="W5" s="180"/>
      <c r="Z5" s="181">
        <f>+ընդհանուր!I59</f>
        <v>42700</v>
      </c>
      <c r="AA5" s="181">
        <f>+ընդհանուր!J59</f>
        <v>45300</v>
      </c>
      <c r="AC5" s="181">
        <f>+ընդհանուր!K59</f>
        <v>48000</v>
      </c>
    </row>
    <row r="6" spans="2:32">
      <c r="P6" s="380">
        <f>+ընդհանուր!F6</f>
        <v>6</v>
      </c>
      <c r="Q6" s="380">
        <f>+ընդհանուր!G6</f>
        <v>6</v>
      </c>
      <c r="U6" s="380">
        <f>+ընդհանուր!H6</f>
        <v>6</v>
      </c>
      <c r="V6" s="380">
        <f>+ընդհանուր!I6</f>
        <v>6</v>
      </c>
      <c r="Z6" s="380">
        <f>+ընդհանուր!J6</f>
        <v>6</v>
      </c>
      <c r="AA6" s="380">
        <f>+ընդհանուր!K6</f>
        <v>6</v>
      </c>
    </row>
    <row r="7" spans="2:32" ht="18.600000000000001" customHeight="1">
      <c r="B7" s="639" t="s">
        <v>158</v>
      </c>
      <c r="C7" s="638" t="s">
        <v>159</v>
      </c>
      <c r="D7" s="638"/>
      <c r="E7" s="638"/>
      <c r="F7" s="638" t="s">
        <v>160</v>
      </c>
      <c r="G7" s="638"/>
      <c r="H7" s="638"/>
      <c r="I7" s="638" t="s">
        <v>110</v>
      </c>
      <c r="J7" s="638"/>
      <c r="K7" s="638"/>
      <c r="L7" s="418" t="s">
        <v>276</v>
      </c>
      <c r="M7" s="640" t="s">
        <v>111</v>
      </c>
      <c r="N7" s="641"/>
      <c r="O7" s="641"/>
      <c r="P7" s="641"/>
      <c r="Q7" s="642"/>
      <c r="R7" s="640" t="s">
        <v>112</v>
      </c>
      <c r="S7" s="641"/>
      <c r="T7" s="641"/>
      <c r="U7" s="641"/>
      <c r="V7" s="642"/>
      <c r="W7" s="640" t="s">
        <v>113</v>
      </c>
      <c r="X7" s="641"/>
      <c r="Y7" s="641"/>
      <c r="Z7" s="641"/>
      <c r="AA7" s="642"/>
      <c r="AB7" s="638" t="s">
        <v>114</v>
      </c>
      <c r="AC7" s="638"/>
      <c r="AD7" s="638"/>
    </row>
    <row r="8" spans="2:32" ht="54">
      <c r="B8" s="639"/>
      <c r="C8" s="183" t="s">
        <v>118</v>
      </c>
      <c r="D8" s="183" t="s">
        <v>119</v>
      </c>
      <c r="E8" s="183" t="s">
        <v>76</v>
      </c>
      <c r="F8" s="183" t="s">
        <v>118</v>
      </c>
      <c r="G8" s="183" t="s">
        <v>119</v>
      </c>
      <c r="H8" s="183" t="s">
        <v>76</v>
      </c>
      <c r="I8" s="183" t="s">
        <v>118</v>
      </c>
      <c r="J8" s="183" t="s">
        <v>119</v>
      </c>
      <c r="K8" s="183" t="s">
        <v>76</v>
      </c>
      <c r="L8" s="183" t="s">
        <v>118</v>
      </c>
      <c r="M8" s="183" t="s">
        <v>118</v>
      </c>
      <c r="N8" s="183" t="s">
        <v>246</v>
      </c>
      <c r="O8" s="183" t="s">
        <v>247</v>
      </c>
      <c r="P8" s="183" t="s">
        <v>244</v>
      </c>
      <c r="Q8" s="183" t="s">
        <v>245</v>
      </c>
      <c r="R8" s="183" t="s">
        <v>118</v>
      </c>
      <c r="S8" s="183" t="s">
        <v>246</v>
      </c>
      <c r="T8" s="183" t="s">
        <v>247</v>
      </c>
      <c r="U8" s="183" t="s">
        <v>244</v>
      </c>
      <c r="V8" s="183" t="s">
        <v>245</v>
      </c>
      <c r="W8" s="183" t="s">
        <v>118</v>
      </c>
      <c r="X8" s="183" t="s">
        <v>246</v>
      </c>
      <c r="Y8" s="183" t="s">
        <v>247</v>
      </c>
      <c r="Z8" s="183" t="s">
        <v>244</v>
      </c>
      <c r="AA8" s="183" t="s">
        <v>245</v>
      </c>
      <c r="AB8" s="183" t="s">
        <v>118</v>
      </c>
      <c r="AC8" s="183" t="s">
        <v>119</v>
      </c>
      <c r="AD8" s="183" t="s">
        <v>76</v>
      </c>
    </row>
    <row r="9" spans="2:32">
      <c r="B9" s="184"/>
      <c r="C9" s="183" t="s">
        <v>161</v>
      </c>
      <c r="D9" s="183" t="s">
        <v>162</v>
      </c>
      <c r="E9" s="183" t="s">
        <v>163</v>
      </c>
      <c r="F9" s="183" t="s">
        <v>164</v>
      </c>
      <c r="G9" s="183" t="s">
        <v>165</v>
      </c>
      <c r="H9" s="183" t="s">
        <v>166</v>
      </c>
      <c r="I9" s="183" t="s">
        <v>164</v>
      </c>
      <c r="J9" s="183" t="s">
        <v>165</v>
      </c>
      <c r="K9" s="183" t="s">
        <v>166</v>
      </c>
      <c r="L9" s="183" t="s">
        <v>164</v>
      </c>
      <c r="M9" s="183" t="s">
        <v>164</v>
      </c>
      <c r="N9" s="183" t="s">
        <v>165</v>
      </c>
      <c r="O9" s="183"/>
      <c r="P9" s="183" t="s">
        <v>166</v>
      </c>
      <c r="Q9" s="183"/>
      <c r="R9" s="183" t="s">
        <v>164</v>
      </c>
      <c r="S9" s="183" t="s">
        <v>165</v>
      </c>
      <c r="T9" s="183"/>
      <c r="U9" s="183" t="s">
        <v>166</v>
      </c>
      <c r="V9" s="183"/>
      <c r="W9" s="183" t="s">
        <v>164</v>
      </c>
      <c r="X9" s="183" t="s">
        <v>165</v>
      </c>
      <c r="Y9" s="183"/>
      <c r="Z9" s="183" t="s">
        <v>166</v>
      </c>
      <c r="AA9" s="183"/>
      <c r="AB9" s="183" t="s">
        <v>164</v>
      </c>
      <c r="AC9" s="183" t="s">
        <v>165</v>
      </c>
      <c r="AD9" s="183" t="s">
        <v>166</v>
      </c>
    </row>
    <row r="10" spans="2:32" ht="54">
      <c r="B10" s="185" t="s">
        <v>167</v>
      </c>
      <c r="C10" s="186">
        <f>SUM(C11:C13)</f>
        <v>1654.6443999999999</v>
      </c>
      <c r="D10" s="186">
        <f>+E10/C10/12*1000</f>
        <v>29888.797858923641</v>
      </c>
      <c r="E10" s="186">
        <f t="shared" ref="E10:AD10" si="0">SUM(E11:E13)</f>
        <v>593463.98399999994</v>
      </c>
      <c r="F10" s="186">
        <f t="shared" si="0"/>
        <v>1658</v>
      </c>
      <c r="G10" s="186">
        <f>+H10/F10/12*1000</f>
        <v>29771.411338962607</v>
      </c>
      <c r="H10" s="186">
        <f t="shared" si="0"/>
        <v>592332</v>
      </c>
      <c r="I10" s="186">
        <f t="shared" si="0"/>
        <v>1468</v>
      </c>
      <c r="J10" s="186">
        <f>+K10/I10/12*1000</f>
        <v>32705.040871934605</v>
      </c>
      <c r="K10" s="186">
        <f t="shared" si="0"/>
        <v>576132</v>
      </c>
      <c r="L10" s="603">
        <f t="shared" si="0"/>
        <v>1546</v>
      </c>
      <c r="M10" s="186">
        <f t="shared" si="0"/>
        <v>1450</v>
      </c>
      <c r="N10" s="186">
        <f>+P10/M10/P$6*1000</f>
        <v>35693.103448275862</v>
      </c>
      <c r="O10" s="186">
        <f>+Q10/M10/Q$6*1000</f>
        <v>40934.482758620688</v>
      </c>
      <c r="P10" s="186">
        <f t="shared" si="0"/>
        <v>310530</v>
      </c>
      <c r="Q10" s="186">
        <f t="shared" si="0"/>
        <v>356130</v>
      </c>
      <c r="R10" s="186">
        <f>SUM(R11:R13)</f>
        <v>1390</v>
      </c>
      <c r="S10" s="186">
        <f>+U10/R10/U$6*1000</f>
        <v>40921.582733812946</v>
      </c>
      <c r="T10" s="186">
        <f>+V10/R10/V$6*1000</f>
        <v>43391.366906474825</v>
      </c>
      <c r="U10" s="186">
        <f t="shared" ref="U10" si="1">SUM(U11:U13)</f>
        <v>341286</v>
      </c>
      <c r="V10" s="186">
        <f t="shared" ref="V10" si="2">SUM(V11:V13)</f>
        <v>361884</v>
      </c>
      <c r="W10" s="186">
        <f t="shared" si="0"/>
        <v>1280</v>
      </c>
      <c r="X10" s="186">
        <f>+Z10/W10/Z$6*1000</f>
        <v>45907.8125</v>
      </c>
      <c r="Y10" s="186">
        <f>+AA10/W10/AA$6*1000</f>
        <v>48678.906250000007</v>
      </c>
      <c r="Z10" s="186">
        <f t="shared" ref="Z10" si="3">SUM(Z11:Z13)</f>
        <v>352572</v>
      </c>
      <c r="AA10" s="186">
        <f t="shared" ref="AA10" si="4">SUM(AA11:AA13)</f>
        <v>373854</v>
      </c>
      <c r="AB10" s="186">
        <f t="shared" si="0"/>
        <v>1170</v>
      </c>
      <c r="AC10" s="186">
        <f t="shared" si="0"/>
        <v>164100</v>
      </c>
      <c r="AD10" s="186">
        <f t="shared" si="0"/>
        <v>723726</v>
      </c>
    </row>
    <row r="11" spans="2:32">
      <c r="B11" s="185" t="s">
        <v>87</v>
      </c>
      <c r="C11" s="188">
        <v>119</v>
      </c>
      <c r="D11" s="186">
        <v>40000</v>
      </c>
      <c r="E11" s="189">
        <f>C11*D11*12/1000</f>
        <v>57120</v>
      </c>
      <c r="F11" s="187">
        <f>72+35</f>
        <v>107</v>
      </c>
      <c r="G11" s="186">
        <f>+G$3</f>
        <v>40000</v>
      </c>
      <c r="H11" s="189">
        <f>F11*G11*12/1000</f>
        <v>51360</v>
      </c>
      <c r="I11" s="188">
        <v>83</v>
      </c>
      <c r="J11" s="186">
        <f>+J$3</f>
        <v>43000</v>
      </c>
      <c r="K11" s="189">
        <f>I11*J11*12/1000</f>
        <v>42828</v>
      </c>
      <c r="L11" s="187">
        <v>90</v>
      </c>
      <c r="M11" s="187">
        <v>80</v>
      </c>
      <c r="N11" s="186">
        <f>+P$3</f>
        <v>46000</v>
      </c>
      <c r="O11" s="186"/>
      <c r="P11" s="189">
        <f>M11*N11*P$6/1000</f>
        <v>22080</v>
      </c>
      <c r="Q11" s="189">
        <f>+M11*Q3*Q$6/1000</f>
        <v>24288</v>
      </c>
      <c r="R11" s="187">
        <f>+M11-10</f>
        <v>70</v>
      </c>
      <c r="S11" s="186">
        <f>+U3</f>
        <v>50600</v>
      </c>
      <c r="T11" s="186"/>
      <c r="U11" s="189">
        <f>R11*S11*U$6/1000</f>
        <v>21252</v>
      </c>
      <c r="V11" s="189">
        <f>+R11*V3*V$6/1000</f>
        <v>22512</v>
      </c>
      <c r="W11" s="187">
        <f>+R11-20</f>
        <v>50</v>
      </c>
      <c r="X11" s="186">
        <f>+Z3</f>
        <v>56800</v>
      </c>
      <c r="Y11" s="186"/>
      <c r="Z11" s="189">
        <f>W11*X11*Z$6/1000</f>
        <v>17040</v>
      </c>
      <c r="AA11" s="189">
        <f>+W11*AA3*AA$6/1000</f>
        <v>18060</v>
      </c>
      <c r="AB11" s="187">
        <f>+W11-20</f>
        <v>30</v>
      </c>
      <c r="AC11" s="186">
        <f>+AC3</f>
        <v>63800</v>
      </c>
      <c r="AD11" s="189">
        <f>AB11*AC11*12/1000</f>
        <v>22968</v>
      </c>
      <c r="AF11" s="190"/>
    </row>
    <row r="12" spans="2:32">
      <c r="B12" s="185" t="s">
        <v>90</v>
      </c>
      <c r="C12" s="188">
        <v>1077.6443999999999</v>
      </c>
      <c r="D12" s="186">
        <v>30000</v>
      </c>
      <c r="E12" s="189">
        <f>C12*D12*12/1000</f>
        <v>387951.98399999994</v>
      </c>
      <c r="F12" s="187">
        <f>442+626</f>
        <v>1068</v>
      </c>
      <c r="G12" s="186">
        <f>+G$4</f>
        <v>30000</v>
      </c>
      <c r="H12" s="189">
        <f>F12*G12*12/1000</f>
        <v>384480</v>
      </c>
      <c r="I12" s="188">
        <v>964</v>
      </c>
      <c r="J12" s="186">
        <f>+J$4</f>
        <v>33000</v>
      </c>
      <c r="K12" s="189">
        <f>I12*J12*12/1000</f>
        <v>381744</v>
      </c>
      <c r="L12" s="187">
        <v>1001</v>
      </c>
      <c r="M12" s="187">
        <v>955</v>
      </c>
      <c r="N12" s="186">
        <f>+P$4</f>
        <v>36000</v>
      </c>
      <c r="O12" s="186"/>
      <c r="P12" s="189">
        <f>M12*N12*P$6/1000</f>
        <v>206280</v>
      </c>
      <c r="Q12" s="189">
        <f>+M12*Q4*Q$6/1000</f>
        <v>237222</v>
      </c>
      <c r="R12" s="187">
        <f>+M12-20</f>
        <v>935</v>
      </c>
      <c r="S12" s="186">
        <f t="shared" ref="S12:S13" si="5">+U4</f>
        <v>41400</v>
      </c>
      <c r="T12" s="186"/>
      <c r="U12" s="189">
        <f>R12*S12*U$6/1000</f>
        <v>232254</v>
      </c>
      <c r="V12" s="189">
        <f>+R12*V4*V$6/1000</f>
        <v>246279</v>
      </c>
      <c r="W12" s="187">
        <f>+R12-40</f>
        <v>895</v>
      </c>
      <c r="X12" s="186">
        <f t="shared" ref="X12:X13" si="6">+Z4</f>
        <v>46500</v>
      </c>
      <c r="Y12" s="186"/>
      <c r="Z12" s="189">
        <f>W12*X12*Z$6/1000</f>
        <v>249705</v>
      </c>
      <c r="AA12" s="189">
        <f>+W12*AA4*AA$6/1000</f>
        <v>264741</v>
      </c>
      <c r="AB12" s="187">
        <f>+W12-40</f>
        <v>855</v>
      </c>
      <c r="AC12" s="186">
        <f t="shared" ref="AC12:AC13" si="7">+AC4</f>
        <v>52300</v>
      </c>
      <c r="AD12" s="189">
        <f>AB12*AC12*12/1000</f>
        <v>536598</v>
      </c>
      <c r="AF12" s="190"/>
    </row>
    <row r="13" spans="2:32">
      <c r="B13" s="185" t="s">
        <v>92</v>
      </c>
      <c r="C13" s="188">
        <v>458</v>
      </c>
      <c r="D13" s="186">
        <v>27000</v>
      </c>
      <c r="E13" s="189">
        <f>C13*D13*12/1000</f>
        <v>148392</v>
      </c>
      <c r="F13" s="187">
        <f>121+362</f>
        <v>483</v>
      </c>
      <c r="G13" s="186">
        <f>+G$5</f>
        <v>27000</v>
      </c>
      <c r="H13" s="189">
        <f>F13*G13*12/1000</f>
        <v>156492</v>
      </c>
      <c r="I13" s="188">
        <v>421</v>
      </c>
      <c r="J13" s="186">
        <f>+J$5</f>
        <v>30000</v>
      </c>
      <c r="K13" s="189">
        <f>I13*J13*12/1000</f>
        <v>151560</v>
      </c>
      <c r="L13" s="187">
        <v>455</v>
      </c>
      <c r="M13" s="187">
        <v>415</v>
      </c>
      <c r="N13" s="186">
        <f>+P$5</f>
        <v>33000</v>
      </c>
      <c r="O13" s="186"/>
      <c r="P13" s="189">
        <f>M13*N13*P$6/1000</f>
        <v>82170</v>
      </c>
      <c r="Q13" s="189">
        <f>+M13*Q5*Q$6/1000</f>
        <v>94620</v>
      </c>
      <c r="R13" s="187">
        <f>+M13-30</f>
        <v>385</v>
      </c>
      <c r="S13" s="186">
        <f t="shared" si="5"/>
        <v>38000</v>
      </c>
      <c r="T13" s="186"/>
      <c r="U13" s="189">
        <f>R13*S13*U$6/1000</f>
        <v>87780</v>
      </c>
      <c r="V13" s="189">
        <f>+R13*V5*V$6/1000</f>
        <v>93093</v>
      </c>
      <c r="W13" s="187">
        <f>+R13-50</f>
        <v>335</v>
      </c>
      <c r="X13" s="186">
        <f t="shared" si="6"/>
        <v>42700</v>
      </c>
      <c r="Y13" s="186"/>
      <c r="Z13" s="189">
        <f>W13*X13*Z$6/1000</f>
        <v>85827</v>
      </c>
      <c r="AA13" s="189">
        <f>+W13*AA5*AA$6/1000</f>
        <v>91053</v>
      </c>
      <c r="AB13" s="187">
        <f>+W13-50</f>
        <v>285</v>
      </c>
      <c r="AC13" s="186">
        <f t="shared" si="7"/>
        <v>48000</v>
      </c>
      <c r="AD13" s="189">
        <f>AB13*AC13*12/1000</f>
        <v>164160</v>
      </c>
      <c r="AF13" s="190"/>
    </row>
    <row r="14" spans="2:32" ht="40.5">
      <c r="B14" s="601" t="s">
        <v>138</v>
      </c>
      <c r="K14" s="186">
        <v>17480</v>
      </c>
      <c r="L14" s="602"/>
      <c r="P14" s="646">
        <f>+P10+Q10</f>
        <v>666660</v>
      </c>
    </row>
    <row r="15" spans="2:32">
      <c r="K15" s="186">
        <f>+K14+K10</f>
        <v>593612</v>
      </c>
      <c r="L15" s="602"/>
    </row>
  </sheetData>
  <mergeCells count="8">
    <mergeCell ref="AB7:AD7"/>
    <mergeCell ref="B7:B8"/>
    <mergeCell ref="C7:E7"/>
    <mergeCell ref="F7:H7"/>
    <mergeCell ref="I7:K7"/>
    <mergeCell ref="M7:Q7"/>
    <mergeCell ref="R7:V7"/>
    <mergeCell ref="W7:AA7"/>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S32"/>
  <sheetViews>
    <sheetView topLeftCell="A16" workbookViewId="0">
      <pane xSplit="4170" topLeftCell="J1" activePane="topRight"/>
      <selection activeCell="C24" sqref="C24"/>
      <selection pane="topRight" activeCell="V1" sqref="V1:X1048576"/>
    </sheetView>
  </sheetViews>
  <sheetFormatPr defaultColWidth="9.140625" defaultRowHeight="13.5"/>
  <cols>
    <col min="1" max="1" width="4" style="81" customWidth="1"/>
    <col min="2" max="2" width="3.85546875" style="81" customWidth="1"/>
    <col min="3" max="3" width="54.140625" style="81" customWidth="1"/>
    <col min="4" max="4" width="9.140625" style="81" customWidth="1"/>
    <col min="5" max="5" width="9.28515625" style="81" customWidth="1"/>
    <col min="6" max="6" width="10.42578125" style="81" customWidth="1"/>
    <col min="7" max="7" width="9.28515625" style="81" customWidth="1"/>
    <col min="8" max="8" width="11.85546875" style="81" customWidth="1"/>
    <col min="9" max="9" width="10.42578125" style="81" customWidth="1"/>
    <col min="10" max="10" width="13.42578125" style="81" customWidth="1"/>
    <col min="11" max="11" width="9.140625" style="81" customWidth="1"/>
    <col min="12" max="12" width="9.28515625" style="81" customWidth="1"/>
    <col min="13" max="13" width="10.42578125" style="81" customWidth="1"/>
    <col min="14" max="14" width="9.28515625" style="81" customWidth="1"/>
    <col min="15" max="15" width="11.85546875" style="81" customWidth="1"/>
    <col min="16" max="16" width="10.42578125" style="81" customWidth="1"/>
    <col min="17" max="17" width="13.42578125" style="81" customWidth="1"/>
    <col min="18" max="18" width="9.140625" style="81" customWidth="1"/>
    <col min="19" max="19" width="9.28515625" style="81" customWidth="1"/>
    <col min="20" max="20" width="10.42578125" style="81" customWidth="1"/>
    <col min="21" max="21" width="9.28515625" style="81" customWidth="1"/>
    <col min="22" max="22" width="11.85546875" style="81" customWidth="1"/>
    <col min="23" max="23" width="11.7109375" style="81" bestFit="1" customWidth="1"/>
    <col min="24" max="24" width="13.42578125" style="81" customWidth="1"/>
    <col min="25" max="25" width="9.140625" style="81" customWidth="1"/>
    <col min="26" max="26" width="9.28515625" style="81" customWidth="1"/>
    <col min="27" max="27" width="10.42578125" style="81" customWidth="1"/>
    <col min="28" max="28" width="9.28515625" style="81" customWidth="1"/>
    <col min="29" max="29" width="11.85546875" style="81" customWidth="1"/>
    <col min="30" max="30" width="10.42578125" style="81" customWidth="1"/>
    <col min="31" max="31" width="13.42578125" style="81" customWidth="1"/>
    <col min="32" max="32" width="9.140625" style="81" customWidth="1"/>
    <col min="33" max="33" width="9.28515625" style="81" customWidth="1"/>
    <col min="34" max="34" width="10.42578125" style="81" customWidth="1"/>
    <col min="35" max="35" width="9.28515625" style="81" customWidth="1"/>
    <col min="36" max="36" width="11.85546875" style="81" customWidth="1"/>
    <col min="37" max="37" width="10.42578125" style="81" customWidth="1"/>
    <col min="38" max="38" width="13.42578125" style="81" customWidth="1"/>
    <col min="39" max="39" width="9.140625" style="81" customWidth="1"/>
    <col min="40" max="40" width="9.28515625" style="81" customWidth="1"/>
    <col min="41" max="41" width="10.42578125" style="81" customWidth="1"/>
    <col min="42" max="42" width="9.28515625" style="81" customWidth="1"/>
    <col min="43" max="43" width="11.85546875" style="81" customWidth="1"/>
    <col min="44" max="44" width="10.42578125" style="81" customWidth="1"/>
    <col min="45" max="45" width="13.42578125" style="81" customWidth="1"/>
    <col min="46" max="16384" width="9.140625" style="81"/>
  </cols>
  <sheetData>
    <row r="2" spans="1:45" ht="17.25" customHeight="1">
      <c r="B2" s="82"/>
      <c r="C2" s="83" t="s">
        <v>107</v>
      </c>
      <c r="D2" s="82"/>
      <c r="E2" s="82"/>
      <c r="F2" s="82"/>
      <c r="G2" s="82"/>
      <c r="H2" s="82"/>
      <c r="I2" s="82"/>
      <c r="J2" s="82"/>
      <c r="K2" s="82"/>
      <c r="L2" s="82"/>
      <c r="M2" s="82"/>
      <c r="N2" s="82"/>
      <c r="O2" s="82"/>
      <c r="P2" s="82"/>
      <c r="Q2" s="82"/>
      <c r="R2" s="82"/>
      <c r="S2" s="82"/>
      <c r="T2" s="82"/>
      <c r="U2" s="82"/>
      <c r="V2" s="82"/>
      <c r="W2" s="82"/>
      <c r="X2" s="82"/>
      <c r="Y2" s="82"/>
      <c r="Z2" s="82"/>
      <c r="AA2" s="82"/>
      <c r="AB2" s="82"/>
      <c r="AC2" s="82"/>
      <c r="AD2" s="82"/>
      <c r="AE2" s="82"/>
      <c r="AF2" s="82"/>
      <c r="AG2" s="82"/>
      <c r="AH2" s="82"/>
      <c r="AI2" s="82"/>
      <c r="AJ2" s="82"/>
      <c r="AK2" s="82"/>
      <c r="AL2" s="82"/>
      <c r="AM2" s="82"/>
      <c r="AN2" s="82"/>
      <c r="AO2" s="82"/>
      <c r="AP2" s="82"/>
      <c r="AQ2" s="82"/>
      <c r="AR2" s="82"/>
      <c r="AS2" s="82"/>
    </row>
    <row r="3" spans="1:45" ht="17.25" customHeight="1">
      <c r="B3" s="82"/>
      <c r="C3" s="83"/>
      <c r="D3" s="82"/>
      <c r="E3" s="82"/>
      <c r="F3" s="82"/>
      <c r="G3" s="82"/>
      <c r="H3" s="84" t="s">
        <v>22</v>
      </c>
      <c r="I3" s="85">
        <f>+ընդհանուր!C62</f>
        <v>14000</v>
      </c>
      <c r="J3" s="82"/>
      <c r="K3" s="82"/>
      <c r="L3" s="82"/>
      <c r="M3" s="82"/>
      <c r="N3" s="82"/>
      <c r="O3" s="84" t="s">
        <v>22</v>
      </c>
      <c r="P3" s="85">
        <f>+ընդհանուր!D62</f>
        <v>14000</v>
      </c>
      <c r="Q3" s="82"/>
      <c r="R3" s="82"/>
      <c r="S3" s="82"/>
      <c r="T3" s="82"/>
      <c r="U3" s="82"/>
      <c r="V3" s="84" t="s">
        <v>22</v>
      </c>
      <c r="W3" s="370">
        <f>+ընդհանուր!F62</f>
        <v>14000</v>
      </c>
      <c r="X3" s="82"/>
      <c r="Y3" s="82"/>
      <c r="Z3" s="82"/>
      <c r="AA3" s="82"/>
      <c r="AB3" s="82"/>
      <c r="AC3" s="84" t="s">
        <v>22</v>
      </c>
      <c r="AD3" s="370">
        <f>+ընդհանուր!H62</f>
        <v>14000</v>
      </c>
      <c r="AE3" s="82"/>
      <c r="AF3" s="82"/>
      <c r="AG3" s="82"/>
      <c r="AH3" s="82"/>
      <c r="AI3" s="82"/>
      <c r="AJ3" s="84" t="s">
        <v>22</v>
      </c>
      <c r="AK3" s="370">
        <f>+ընդհանուր!J62</f>
        <v>14000</v>
      </c>
      <c r="AL3" s="82"/>
      <c r="AM3" s="82"/>
      <c r="AN3" s="82"/>
      <c r="AO3" s="82"/>
      <c r="AP3" s="82"/>
      <c r="AQ3" s="84" t="s">
        <v>22</v>
      </c>
      <c r="AR3" s="370">
        <f>+ընդհանուր!K62</f>
        <v>14000</v>
      </c>
      <c r="AS3" s="82"/>
    </row>
    <row r="4" spans="1:45" ht="15.75" customHeight="1">
      <c r="H4" s="86" t="s">
        <v>108</v>
      </c>
      <c r="I4" s="87">
        <v>5000</v>
      </c>
      <c r="O4" s="86" t="s">
        <v>108</v>
      </c>
      <c r="P4" s="85">
        <f>+ընդհանուր!D63</f>
        <v>5000</v>
      </c>
      <c r="V4" s="86" t="s">
        <v>108</v>
      </c>
      <c r="W4" s="370">
        <f>+ընդհանուր!F63</f>
        <v>5000</v>
      </c>
      <c r="AC4" s="86" t="s">
        <v>108</v>
      </c>
      <c r="AD4" s="370">
        <f>+ընդհանուր!H63</f>
        <v>5000</v>
      </c>
      <c r="AJ4" s="86" t="s">
        <v>108</v>
      </c>
      <c r="AK4" s="370">
        <f>+ընդհանուր!J63</f>
        <v>5000</v>
      </c>
      <c r="AQ4" s="86" t="s">
        <v>108</v>
      </c>
      <c r="AR4" s="370">
        <f>+ընդհանուր!K63</f>
        <v>5000</v>
      </c>
    </row>
    <row r="5" spans="1:45" ht="18" customHeight="1">
      <c r="B5" s="644"/>
      <c r="C5" s="644"/>
      <c r="W5" s="371">
        <f>+ընդհանուր!F6</f>
        <v>6</v>
      </c>
      <c r="X5" s="371">
        <f>+ընդհանուր!G6</f>
        <v>6</v>
      </c>
      <c r="AD5" s="371">
        <f>+ընդհանուր!H6</f>
        <v>6</v>
      </c>
      <c r="AE5" s="371">
        <f>+ընդհանուր!I6</f>
        <v>6</v>
      </c>
      <c r="AK5" s="371">
        <f>+ընդհանուր!I6</f>
        <v>6</v>
      </c>
      <c r="AL5" s="371">
        <f>+ընդհանուր!J6</f>
        <v>6</v>
      </c>
    </row>
    <row r="6" spans="1:45" ht="31.5" customHeight="1">
      <c r="B6" s="645" t="s">
        <v>68</v>
      </c>
      <c r="C6" s="645" t="s">
        <v>69</v>
      </c>
      <c r="D6" s="643" t="s">
        <v>109</v>
      </c>
      <c r="E6" s="643"/>
      <c r="F6" s="643"/>
      <c r="G6" s="643"/>
      <c r="H6" s="643"/>
      <c r="I6" s="643"/>
      <c r="J6" s="643"/>
      <c r="K6" s="643" t="s">
        <v>110</v>
      </c>
      <c r="L6" s="643"/>
      <c r="M6" s="643"/>
      <c r="N6" s="643"/>
      <c r="O6" s="643"/>
      <c r="P6" s="643"/>
      <c r="Q6" s="643"/>
      <c r="R6" s="643" t="s">
        <v>111</v>
      </c>
      <c r="S6" s="643"/>
      <c r="T6" s="643"/>
      <c r="U6" s="643"/>
      <c r="V6" s="643"/>
      <c r="W6" s="643"/>
      <c r="X6" s="643"/>
      <c r="Y6" s="643" t="s">
        <v>112</v>
      </c>
      <c r="Z6" s="643"/>
      <c r="AA6" s="643"/>
      <c r="AB6" s="643"/>
      <c r="AC6" s="643"/>
      <c r="AD6" s="643"/>
      <c r="AE6" s="643"/>
      <c r="AF6" s="643" t="s">
        <v>113</v>
      </c>
      <c r="AG6" s="643"/>
      <c r="AH6" s="643"/>
      <c r="AI6" s="643"/>
      <c r="AJ6" s="643"/>
      <c r="AK6" s="643"/>
      <c r="AL6" s="643"/>
      <c r="AM6" s="643" t="s">
        <v>114</v>
      </c>
      <c r="AN6" s="643"/>
      <c r="AO6" s="643"/>
      <c r="AP6" s="643"/>
      <c r="AQ6" s="643"/>
      <c r="AR6" s="643"/>
      <c r="AS6" s="643"/>
    </row>
    <row r="7" spans="1:45" s="88" customFormat="1" ht="86.25" customHeight="1">
      <c r="B7" s="645"/>
      <c r="C7" s="645"/>
      <c r="D7" s="89" t="s">
        <v>115</v>
      </c>
      <c r="E7" s="89" t="s">
        <v>71</v>
      </c>
      <c r="F7" s="89" t="s">
        <v>116</v>
      </c>
      <c r="G7" s="89" t="s">
        <v>117</v>
      </c>
      <c r="H7" s="90" t="s">
        <v>118</v>
      </c>
      <c r="I7" s="90" t="s">
        <v>119</v>
      </c>
      <c r="J7" s="90" t="s">
        <v>76</v>
      </c>
      <c r="K7" s="89" t="s">
        <v>115</v>
      </c>
      <c r="L7" s="89" t="s">
        <v>71</v>
      </c>
      <c r="M7" s="89" t="s">
        <v>116</v>
      </c>
      <c r="N7" s="89" t="s">
        <v>117</v>
      </c>
      <c r="O7" s="90" t="s">
        <v>118</v>
      </c>
      <c r="P7" s="90" t="s">
        <v>119</v>
      </c>
      <c r="Q7" s="90" t="s">
        <v>76</v>
      </c>
      <c r="R7" s="89" t="s">
        <v>115</v>
      </c>
      <c r="S7" s="89" t="s">
        <v>71</v>
      </c>
      <c r="T7" s="89" t="s">
        <v>116</v>
      </c>
      <c r="U7" s="89" t="s">
        <v>117</v>
      </c>
      <c r="V7" s="90" t="s">
        <v>118</v>
      </c>
      <c r="W7" s="90" t="s">
        <v>119</v>
      </c>
      <c r="X7" s="90" t="s">
        <v>76</v>
      </c>
      <c r="Y7" s="89" t="s">
        <v>115</v>
      </c>
      <c r="Z7" s="89" t="s">
        <v>71</v>
      </c>
      <c r="AA7" s="89" t="s">
        <v>116</v>
      </c>
      <c r="AB7" s="89" t="s">
        <v>117</v>
      </c>
      <c r="AC7" s="90" t="s">
        <v>118</v>
      </c>
      <c r="AD7" s="90" t="s">
        <v>119</v>
      </c>
      <c r="AE7" s="90" t="s">
        <v>76</v>
      </c>
      <c r="AF7" s="89" t="s">
        <v>115</v>
      </c>
      <c r="AG7" s="89" t="s">
        <v>71</v>
      </c>
      <c r="AH7" s="89" t="s">
        <v>116</v>
      </c>
      <c r="AI7" s="89" t="s">
        <v>117</v>
      </c>
      <c r="AJ7" s="90" t="s">
        <v>118</v>
      </c>
      <c r="AK7" s="90" t="s">
        <v>119</v>
      </c>
      <c r="AL7" s="90" t="s">
        <v>76</v>
      </c>
      <c r="AM7" s="89" t="s">
        <v>115</v>
      </c>
      <c r="AN7" s="89" t="s">
        <v>71</v>
      </c>
      <c r="AO7" s="89" t="s">
        <v>116</v>
      </c>
      <c r="AP7" s="89" t="s">
        <v>117</v>
      </c>
      <c r="AQ7" s="90" t="s">
        <v>118</v>
      </c>
      <c r="AR7" s="90" t="s">
        <v>119</v>
      </c>
      <c r="AS7" s="90" t="s">
        <v>76</v>
      </c>
    </row>
    <row r="8" spans="1:45" s="92" customFormat="1" ht="15" customHeight="1">
      <c r="A8" s="88"/>
      <c r="B8" s="91"/>
      <c r="C8" s="91"/>
      <c r="D8" s="91">
        <v>14</v>
      </c>
      <c r="E8" s="91">
        <v>15</v>
      </c>
      <c r="F8" s="91">
        <v>16</v>
      </c>
      <c r="G8" s="91">
        <v>17</v>
      </c>
      <c r="H8" s="91">
        <v>18</v>
      </c>
      <c r="I8" s="91">
        <v>19</v>
      </c>
      <c r="J8" s="91">
        <v>20</v>
      </c>
      <c r="K8" s="91">
        <v>14</v>
      </c>
      <c r="L8" s="91">
        <v>15</v>
      </c>
      <c r="M8" s="91">
        <v>16</v>
      </c>
      <c r="N8" s="91">
        <v>17</v>
      </c>
      <c r="O8" s="91">
        <v>18</v>
      </c>
      <c r="P8" s="91">
        <v>19</v>
      </c>
      <c r="Q8" s="91">
        <v>20</v>
      </c>
      <c r="R8" s="91">
        <v>14</v>
      </c>
      <c r="S8" s="91">
        <v>15</v>
      </c>
      <c r="T8" s="91">
        <v>16</v>
      </c>
      <c r="U8" s="91">
        <v>17</v>
      </c>
      <c r="V8" s="91">
        <v>18</v>
      </c>
      <c r="W8" s="91">
        <v>19</v>
      </c>
      <c r="X8" s="91">
        <v>20</v>
      </c>
      <c r="Y8" s="91">
        <v>14</v>
      </c>
      <c r="Z8" s="91">
        <v>15</v>
      </c>
      <c r="AA8" s="91">
        <v>16</v>
      </c>
      <c r="AB8" s="91">
        <v>17</v>
      </c>
      <c r="AC8" s="91">
        <v>18</v>
      </c>
      <c r="AD8" s="91">
        <v>19</v>
      </c>
      <c r="AE8" s="91">
        <v>20</v>
      </c>
      <c r="AF8" s="91">
        <v>14</v>
      </c>
      <c r="AG8" s="91">
        <v>15</v>
      </c>
      <c r="AH8" s="91">
        <v>16</v>
      </c>
      <c r="AI8" s="91">
        <v>17</v>
      </c>
      <c r="AJ8" s="91">
        <v>18</v>
      </c>
      <c r="AK8" s="91">
        <v>19</v>
      </c>
      <c r="AL8" s="91">
        <v>20</v>
      </c>
      <c r="AM8" s="91">
        <v>14</v>
      </c>
      <c r="AN8" s="91">
        <v>15</v>
      </c>
      <c r="AO8" s="91">
        <v>16</v>
      </c>
      <c r="AP8" s="91">
        <v>17</v>
      </c>
      <c r="AQ8" s="91">
        <v>18</v>
      </c>
      <c r="AR8" s="91">
        <v>19</v>
      </c>
      <c r="AS8" s="91">
        <v>20</v>
      </c>
    </row>
    <row r="9" spans="1:45" ht="23.1" customHeight="1">
      <c r="A9" s="88"/>
      <c r="B9" s="93">
        <v>1</v>
      </c>
      <c r="C9" s="94" t="s">
        <v>120</v>
      </c>
      <c r="D9" s="95"/>
      <c r="E9" s="96"/>
      <c r="F9" s="97"/>
      <c r="G9" s="96"/>
      <c r="H9" s="98">
        <v>3</v>
      </c>
      <c r="I9" s="374">
        <v>925960</v>
      </c>
      <c r="J9" s="375">
        <f t="shared" ref="J9:J16" si="0">H9*I9*12/1000</f>
        <v>33334.559999999998</v>
      </c>
      <c r="K9" s="95"/>
      <c r="L9" s="96"/>
      <c r="M9" s="97"/>
      <c r="N9" s="96"/>
      <c r="O9" s="377">
        <v>3</v>
      </c>
      <c r="P9" s="373">
        <v>925960</v>
      </c>
      <c r="Q9" s="100">
        <f>O9*P9*12/1000</f>
        <v>33334.559999999998</v>
      </c>
      <c r="R9" s="95"/>
      <c r="S9" s="96"/>
      <c r="T9" s="97"/>
      <c r="U9" s="96"/>
      <c r="V9" s="98">
        <v>3</v>
      </c>
      <c r="W9" s="99">
        <v>925960</v>
      </c>
      <c r="X9" s="100">
        <f>V9*W9*12/1000</f>
        <v>33334.559999999998</v>
      </c>
      <c r="Y9" s="95"/>
      <c r="Z9" s="96"/>
      <c r="AA9" s="97"/>
      <c r="AB9" s="96"/>
      <c r="AC9" s="98">
        <f>+V9</f>
        <v>3</v>
      </c>
      <c r="AD9" s="99">
        <f>+W9</f>
        <v>925960</v>
      </c>
      <c r="AE9" s="100">
        <f>AC9*AD9*12/1000</f>
        <v>33334.559999999998</v>
      </c>
      <c r="AF9" s="95"/>
      <c r="AG9" s="96"/>
      <c r="AH9" s="97"/>
      <c r="AI9" s="96"/>
      <c r="AJ9" s="98">
        <v>3</v>
      </c>
      <c r="AK9" s="99">
        <v>925960</v>
      </c>
      <c r="AL9" s="100">
        <f>AJ9*AK9*12/1000</f>
        <v>33334.559999999998</v>
      </c>
      <c r="AM9" s="95"/>
      <c r="AN9" s="96"/>
      <c r="AO9" s="97"/>
      <c r="AP9" s="96"/>
      <c r="AQ9" s="98">
        <v>3</v>
      </c>
      <c r="AR9" s="99">
        <v>925960</v>
      </c>
      <c r="AS9" s="100">
        <f>AQ9*AR9*12/1000</f>
        <v>33334.559999999998</v>
      </c>
    </row>
    <row r="10" spans="1:45" ht="23.1" customHeight="1">
      <c r="A10" s="88"/>
      <c r="B10" s="93">
        <v>2</v>
      </c>
      <c r="C10" s="101" t="s">
        <v>121</v>
      </c>
      <c r="D10" s="95"/>
      <c r="E10" s="96"/>
      <c r="F10" s="97"/>
      <c r="G10" s="96"/>
      <c r="H10" s="98">
        <v>8</v>
      </c>
      <c r="I10" s="374">
        <v>675850</v>
      </c>
      <c r="J10" s="375">
        <f t="shared" si="0"/>
        <v>64881.599999999999</v>
      </c>
      <c r="K10" s="95"/>
      <c r="L10" s="96"/>
      <c r="M10" s="97"/>
      <c r="N10" s="96"/>
      <c r="O10" s="377">
        <v>8</v>
      </c>
      <c r="P10" s="373">
        <v>675839</v>
      </c>
      <c r="Q10" s="100">
        <f>O10*P10*12/1000</f>
        <v>64880.544000000002</v>
      </c>
      <c r="R10" s="95"/>
      <c r="S10" s="96"/>
      <c r="T10" s="97"/>
      <c r="U10" s="96"/>
      <c r="V10" s="98">
        <v>10</v>
      </c>
      <c r="W10" s="373">
        <v>675839</v>
      </c>
      <c r="X10" s="100">
        <f>V10*W10*12/1000</f>
        <v>81100.679999999993</v>
      </c>
      <c r="Y10" s="95"/>
      <c r="Z10" s="96"/>
      <c r="AA10" s="97"/>
      <c r="AB10" s="96"/>
      <c r="AC10" s="98">
        <f t="shared" ref="AC10:AC15" si="1">+V10</f>
        <v>10</v>
      </c>
      <c r="AD10" s="99">
        <f t="shared" ref="AD10:AD16" si="2">+W10</f>
        <v>675839</v>
      </c>
      <c r="AE10" s="100">
        <f>AC10*AD10*12/1000</f>
        <v>81100.679999999993</v>
      </c>
      <c r="AF10" s="95"/>
      <c r="AG10" s="96"/>
      <c r="AH10" s="97"/>
      <c r="AI10" s="96"/>
      <c r="AJ10" s="98">
        <v>10</v>
      </c>
      <c r="AK10" s="99">
        <v>628817</v>
      </c>
      <c r="AL10" s="100">
        <f>AJ10*AK10*12/1000</f>
        <v>75458.039999999994</v>
      </c>
      <c r="AM10" s="95"/>
      <c r="AN10" s="96"/>
      <c r="AO10" s="97"/>
      <c r="AP10" s="96"/>
      <c r="AQ10" s="98">
        <v>8</v>
      </c>
      <c r="AR10" s="99">
        <v>628817</v>
      </c>
      <c r="AS10" s="100">
        <f>AQ10*AR10*12/1000</f>
        <v>60366.432000000001</v>
      </c>
    </row>
    <row r="11" spans="1:45" ht="23.1" customHeight="1">
      <c r="A11" s="88"/>
      <c r="B11" s="93">
        <v>3</v>
      </c>
      <c r="C11" s="94" t="s">
        <v>122</v>
      </c>
      <c r="D11" s="95"/>
      <c r="E11" s="96"/>
      <c r="F11" s="97"/>
      <c r="G11" s="96"/>
      <c r="H11" s="98">
        <v>77</v>
      </c>
      <c r="I11" s="374">
        <v>490885</v>
      </c>
      <c r="J11" s="375">
        <f t="shared" si="0"/>
        <v>453577.74</v>
      </c>
      <c r="K11" s="95"/>
      <c r="L11" s="96"/>
      <c r="M11" s="97"/>
      <c r="N11" s="96"/>
      <c r="O11" s="377">
        <v>85</v>
      </c>
      <c r="P11" s="373">
        <v>500670</v>
      </c>
      <c r="Q11" s="100">
        <f>O11*P11*12/1000</f>
        <v>510683.4</v>
      </c>
      <c r="R11" s="95"/>
      <c r="S11" s="96"/>
      <c r="T11" s="97"/>
      <c r="U11" s="96"/>
      <c r="V11" s="98">
        <v>90</v>
      </c>
      <c r="W11" s="373">
        <v>500670</v>
      </c>
      <c r="X11" s="100">
        <f>V11*W11*12/1000</f>
        <v>540723.6</v>
      </c>
      <c r="Y11" s="95"/>
      <c r="Z11" s="96"/>
      <c r="AA11" s="97"/>
      <c r="AB11" s="96"/>
      <c r="AC11" s="98">
        <v>95</v>
      </c>
      <c r="AD11" s="99">
        <f t="shared" si="2"/>
        <v>500670</v>
      </c>
      <c r="AE11" s="100">
        <f>AC11*AD11*12/1000</f>
        <v>570763.80000000005</v>
      </c>
      <c r="AF11" s="95"/>
      <c r="AG11" s="96"/>
      <c r="AH11" s="97"/>
      <c r="AI11" s="96"/>
      <c r="AJ11" s="98">
        <v>100</v>
      </c>
      <c r="AK11" s="99">
        <v>504671</v>
      </c>
      <c r="AL11" s="100">
        <f>AJ11*AK11*12/1000</f>
        <v>605605.19999999995</v>
      </c>
      <c r="AM11" s="95"/>
      <c r="AN11" s="96"/>
      <c r="AO11" s="97"/>
      <c r="AP11" s="96"/>
      <c r="AQ11" s="98">
        <v>105</v>
      </c>
      <c r="AR11" s="99">
        <v>504671</v>
      </c>
      <c r="AS11" s="100">
        <f>AQ11*AR11*12/1000</f>
        <v>635885.46</v>
      </c>
    </row>
    <row r="12" spans="1:45" ht="23.1" customHeight="1">
      <c r="A12" s="88"/>
      <c r="B12" s="93">
        <v>4</v>
      </c>
      <c r="C12" s="94" t="s">
        <v>123</v>
      </c>
      <c r="D12" s="95"/>
      <c r="E12" s="96"/>
      <c r="F12" s="97"/>
      <c r="G12" s="96"/>
      <c r="H12" s="98">
        <v>355</v>
      </c>
      <c r="I12" s="374">
        <v>400995</v>
      </c>
      <c r="J12" s="375">
        <f t="shared" si="0"/>
        <v>1708238.7</v>
      </c>
      <c r="K12" s="95"/>
      <c r="L12" s="96"/>
      <c r="M12" s="97"/>
      <c r="N12" s="96"/>
      <c r="O12" s="377">
        <v>386</v>
      </c>
      <c r="P12" s="373">
        <f>+I12</f>
        <v>400995</v>
      </c>
      <c r="Q12" s="100">
        <f>O12*P12*12/1000</f>
        <v>1857408.84</v>
      </c>
      <c r="R12" s="95"/>
      <c r="S12" s="96"/>
      <c r="T12" s="97"/>
      <c r="U12" s="96"/>
      <c r="V12" s="98">
        <v>390</v>
      </c>
      <c r="W12" s="373">
        <f>+I12</f>
        <v>400995</v>
      </c>
      <c r="X12" s="100">
        <f>V12*W12*12/1000</f>
        <v>1876656.6</v>
      </c>
      <c r="Y12" s="95"/>
      <c r="Z12" s="96"/>
      <c r="AA12" s="97"/>
      <c r="AB12" s="96"/>
      <c r="AC12" s="98">
        <v>400</v>
      </c>
      <c r="AD12" s="99">
        <f t="shared" si="2"/>
        <v>400995</v>
      </c>
      <c r="AE12" s="100">
        <f>AC12*AD12*12/1000</f>
        <v>1924776</v>
      </c>
      <c r="AF12" s="95"/>
      <c r="AG12" s="96"/>
      <c r="AH12" s="97"/>
      <c r="AI12" s="96"/>
      <c r="AJ12" s="98">
        <v>405</v>
      </c>
      <c r="AK12" s="99">
        <v>383835</v>
      </c>
      <c r="AL12" s="100">
        <f>AJ12*AK12*12/1000</f>
        <v>1865438.1</v>
      </c>
      <c r="AM12" s="95"/>
      <c r="AN12" s="96"/>
      <c r="AO12" s="97"/>
      <c r="AP12" s="96"/>
      <c r="AQ12" s="98">
        <v>410</v>
      </c>
      <c r="AR12" s="99">
        <v>383835</v>
      </c>
      <c r="AS12" s="100">
        <f>AQ12*AR12*12/1000</f>
        <v>1888468.2</v>
      </c>
    </row>
    <row r="13" spans="1:45" ht="27.75" customHeight="1">
      <c r="A13" s="88"/>
      <c r="B13" s="93">
        <v>5</v>
      </c>
      <c r="C13" s="101" t="s">
        <v>124</v>
      </c>
      <c r="D13" s="95"/>
      <c r="E13" s="96"/>
      <c r="F13" s="97"/>
      <c r="G13" s="96"/>
      <c r="H13" s="98">
        <v>12</v>
      </c>
      <c r="I13" s="374">
        <v>421830</v>
      </c>
      <c r="J13" s="375">
        <f t="shared" si="0"/>
        <v>60743.519999999997</v>
      </c>
      <c r="K13" s="95"/>
      <c r="L13" s="96"/>
      <c r="M13" s="97"/>
      <c r="N13" s="96"/>
      <c r="O13" s="377">
        <v>15</v>
      </c>
      <c r="P13" s="373">
        <f>+I13</f>
        <v>421830</v>
      </c>
      <c r="Q13" s="100">
        <f>O13*P13*12/1000</f>
        <v>75929.399999999994</v>
      </c>
      <c r="R13" s="95"/>
      <c r="S13" s="96"/>
      <c r="T13" s="97"/>
      <c r="U13" s="96"/>
      <c r="V13" s="98">
        <v>20</v>
      </c>
      <c r="W13" s="99">
        <v>410460</v>
      </c>
      <c r="X13" s="100">
        <f>V13*W13*12/1000</f>
        <v>98510.399999999994</v>
      </c>
      <c r="Y13" s="95"/>
      <c r="Z13" s="96"/>
      <c r="AA13" s="97"/>
      <c r="AB13" s="96"/>
      <c r="AC13" s="98">
        <v>25</v>
      </c>
      <c r="AD13" s="99">
        <f t="shared" si="2"/>
        <v>410460</v>
      </c>
      <c r="AE13" s="100">
        <f>AC13*AD13*12/1000</f>
        <v>123138</v>
      </c>
      <c r="AF13" s="95"/>
      <c r="AG13" s="96"/>
      <c r="AH13" s="97"/>
      <c r="AI13" s="96"/>
      <c r="AJ13" s="98">
        <v>30</v>
      </c>
      <c r="AK13" s="99">
        <v>410460</v>
      </c>
      <c r="AL13" s="100">
        <f>AJ13*AK13*12/1000</f>
        <v>147765.6</v>
      </c>
      <c r="AM13" s="95"/>
      <c r="AN13" s="96"/>
      <c r="AO13" s="97"/>
      <c r="AP13" s="96"/>
      <c r="AQ13" s="98">
        <v>35</v>
      </c>
      <c r="AR13" s="99">
        <v>410460</v>
      </c>
      <c r="AS13" s="100">
        <f>AQ13*AR13*12/1000</f>
        <v>172393.2</v>
      </c>
    </row>
    <row r="14" spans="1:45" ht="27.75" customHeight="1">
      <c r="A14" s="88"/>
      <c r="B14" s="93">
        <v>6</v>
      </c>
      <c r="C14" s="94" t="s">
        <v>125</v>
      </c>
      <c r="D14" s="95">
        <v>30</v>
      </c>
      <c r="E14" s="96">
        <f>+I$3</f>
        <v>14000</v>
      </c>
      <c r="F14" s="95">
        <v>6.5</v>
      </c>
      <c r="G14" s="96">
        <f>+I$4</f>
        <v>5000</v>
      </c>
      <c r="H14" s="98">
        <v>29</v>
      </c>
      <c r="I14" s="376">
        <v>175585</v>
      </c>
      <c r="J14" s="375">
        <f t="shared" si="0"/>
        <v>61103.58</v>
      </c>
      <c r="K14" s="95">
        <v>30</v>
      </c>
      <c r="L14" s="96">
        <f>+P$3</f>
        <v>14000</v>
      </c>
      <c r="M14" s="95">
        <v>6.5</v>
      </c>
      <c r="N14" s="96">
        <f>+P$4</f>
        <v>5000</v>
      </c>
      <c r="O14" s="377">
        <v>36</v>
      </c>
      <c r="P14" s="373">
        <f>+Q14/O14/12*1000</f>
        <v>241000</v>
      </c>
      <c r="Q14" s="103">
        <f>(L14*M14+K14*N14)*O14*12/1000</f>
        <v>104112</v>
      </c>
      <c r="R14" s="95">
        <v>25</v>
      </c>
      <c r="S14" s="96">
        <f>+W$3</f>
        <v>14000</v>
      </c>
      <c r="T14" s="95">
        <v>6.5</v>
      </c>
      <c r="U14" s="96">
        <f>+W$4</f>
        <v>5000</v>
      </c>
      <c r="V14" s="98">
        <v>40</v>
      </c>
      <c r="W14" s="102">
        <f>X14/V14/12*1000</f>
        <v>216000</v>
      </c>
      <c r="X14" s="103">
        <f>(S14*T14+R14*U14)*V14*12/1000</f>
        <v>103680</v>
      </c>
      <c r="Y14" s="95">
        <f>+R14</f>
        <v>25</v>
      </c>
      <c r="Z14" s="96">
        <f>+AD$3</f>
        <v>14000</v>
      </c>
      <c r="AA14" s="95">
        <v>6.5</v>
      </c>
      <c r="AB14" s="96">
        <f>+AD$4</f>
        <v>5000</v>
      </c>
      <c r="AC14" s="98">
        <v>45</v>
      </c>
      <c r="AD14" s="99">
        <f t="shared" si="2"/>
        <v>216000</v>
      </c>
      <c r="AE14" s="103">
        <f>(Z14*AA14+Y14*AB14)*AC14*12/1000</f>
        <v>116640</v>
      </c>
      <c r="AF14" s="95">
        <v>30</v>
      </c>
      <c r="AG14" s="96">
        <f>+AK$3</f>
        <v>14000</v>
      </c>
      <c r="AH14" s="95">
        <v>6.5</v>
      </c>
      <c r="AI14" s="96">
        <f>+AK$4</f>
        <v>5000</v>
      </c>
      <c r="AJ14" s="98">
        <v>50</v>
      </c>
      <c r="AK14" s="102">
        <f>AL14/AJ14/12*1000</f>
        <v>241000</v>
      </c>
      <c r="AL14" s="103">
        <f>(AG14*AH14+AF14*AI14)*AJ14*12/1000</f>
        <v>144600</v>
      </c>
      <c r="AM14" s="95">
        <v>30</v>
      </c>
      <c r="AN14" s="96">
        <f>+AR$3</f>
        <v>14000</v>
      </c>
      <c r="AO14" s="95">
        <v>6.5</v>
      </c>
      <c r="AP14" s="96">
        <f>+AR$4</f>
        <v>5000</v>
      </c>
      <c r="AQ14" s="98">
        <v>55</v>
      </c>
      <c r="AR14" s="102">
        <f>AS14/AQ14/12*1000</f>
        <v>241000</v>
      </c>
      <c r="AS14" s="103">
        <f>(AN14*AO14+AM14*AP14)*AQ14*12/1000</f>
        <v>159060</v>
      </c>
    </row>
    <row r="15" spans="1:45" ht="23.1" customHeight="1">
      <c r="B15" s="93">
        <v>7</v>
      </c>
      <c r="C15" s="94" t="s">
        <v>126</v>
      </c>
      <c r="D15" s="96">
        <v>0</v>
      </c>
      <c r="E15" s="96">
        <f>+I$3</f>
        <v>14000</v>
      </c>
      <c r="F15" s="95">
        <v>0</v>
      </c>
      <c r="G15" s="96">
        <f>+I$4</f>
        <v>5000</v>
      </c>
      <c r="H15" s="98"/>
      <c r="I15" s="376"/>
      <c r="J15" s="375">
        <f t="shared" si="0"/>
        <v>0</v>
      </c>
      <c r="K15" s="96">
        <v>0</v>
      </c>
      <c r="L15" s="96">
        <f>+P$3</f>
        <v>14000</v>
      </c>
      <c r="M15" s="95">
        <v>0</v>
      </c>
      <c r="N15" s="96">
        <f>+P$4</f>
        <v>5000</v>
      </c>
      <c r="O15" s="378"/>
      <c r="P15" s="102">
        <v>0</v>
      </c>
      <c r="Q15" s="103">
        <f>(L15*M15+K15*N15)*O15*12/1000</f>
        <v>0</v>
      </c>
      <c r="R15" s="96">
        <v>0</v>
      </c>
      <c r="S15" s="96">
        <f>+W$3</f>
        <v>14000</v>
      </c>
      <c r="T15" s="95">
        <v>0</v>
      </c>
      <c r="U15" s="96">
        <f>+W$4</f>
        <v>5000</v>
      </c>
      <c r="V15" s="104">
        <v>0</v>
      </c>
      <c r="W15" s="102" t="e">
        <f>X15/V15/12*1000</f>
        <v>#DIV/0!</v>
      </c>
      <c r="X15" s="103">
        <f>(S15*T15+R15*U15)*V15*12/1000</f>
        <v>0</v>
      </c>
      <c r="Y15" s="95">
        <f t="shared" ref="Y15:Y16" si="3">+R15</f>
        <v>0</v>
      </c>
      <c r="Z15" s="96">
        <f>+AD$3</f>
        <v>14000</v>
      </c>
      <c r="AA15" s="95">
        <v>0</v>
      </c>
      <c r="AB15" s="96">
        <f>+AD$4</f>
        <v>5000</v>
      </c>
      <c r="AC15" s="98">
        <f t="shared" si="1"/>
        <v>0</v>
      </c>
      <c r="AD15" s="99"/>
      <c r="AE15" s="103">
        <f>(Z15*AA15+Y15*AB15)*AC15*12/1000</f>
        <v>0</v>
      </c>
      <c r="AF15" s="96">
        <v>0</v>
      </c>
      <c r="AG15" s="96">
        <f>+AK$3</f>
        <v>14000</v>
      </c>
      <c r="AH15" s="95">
        <v>0</v>
      </c>
      <c r="AI15" s="96">
        <f>+AK$4</f>
        <v>5000</v>
      </c>
      <c r="AJ15" s="104">
        <v>0</v>
      </c>
      <c r="AK15" s="102"/>
      <c r="AL15" s="103">
        <f>(AG15*AH15+AF15*AI15)*AJ15*12/1000</f>
        <v>0</v>
      </c>
      <c r="AM15" s="96">
        <v>0</v>
      </c>
      <c r="AN15" s="96">
        <f>+AR$3</f>
        <v>14000</v>
      </c>
      <c r="AO15" s="95">
        <v>0</v>
      </c>
      <c r="AP15" s="96">
        <f>+AR$4</f>
        <v>5000</v>
      </c>
      <c r="AQ15" s="104">
        <v>0</v>
      </c>
      <c r="AR15" s="102"/>
      <c r="AS15" s="103">
        <f>(AN15*AO15+AM15*AP15)*AQ15*12/1000</f>
        <v>0</v>
      </c>
    </row>
    <row r="16" spans="1:45" ht="32.25" customHeight="1">
      <c r="B16" s="93">
        <v>8</v>
      </c>
      <c r="C16" s="101" t="s">
        <v>127</v>
      </c>
      <c r="D16" s="95">
        <v>7.5</v>
      </c>
      <c r="E16" s="96">
        <f>+I$3</f>
        <v>14000</v>
      </c>
      <c r="F16" s="95">
        <v>10.5</v>
      </c>
      <c r="G16" s="96">
        <f>+I$4</f>
        <v>5000</v>
      </c>
      <c r="H16" s="98">
        <v>155</v>
      </c>
      <c r="I16" s="376">
        <v>190520</v>
      </c>
      <c r="J16" s="375">
        <f t="shared" si="0"/>
        <v>354367.2</v>
      </c>
      <c r="K16" s="95">
        <v>7.5</v>
      </c>
      <c r="L16" s="96">
        <f>+P$3</f>
        <v>14000</v>
      </c>
      <c r="M16" s="95">
        <v>10.5</v>
      </c>
      <c r="N16" s="96">
        <f>+P$4</f>
        <v>5000</v>
      </c>
      <c r="O16" s="377">
        <v>160</v>
      </c>
      <c r="P16" s="373">
        <f>+Q16/O16/12*1000</f>
        <v>184500</v>
      </c>
      <c r="Q16" s="100">
        <f>(L16*M16+K16*N16)*O16*12/1000</f>
        <v>354240</v>
      </c>
      <c r="R16" s="95">
        <v>7.5</v>
      </c>
      <c r="S16" s="96">
        <f>+W$3</f>
        <v>14000</v>
      </c>
      <c r="T16" s="95">
        <v>10.5</v>
      </c>
      <c r="U16" s="96">
        <f>+W$4</f>
        <v>5000</v>
      </c>
      <c r="V16" s="98">
        <v>170</v>
      </c>
      <c r="W16" s="102">
        <f>X16/V16/12*1000</f>
        <v>184500</v>
      </c>
      <c r="X16" s="100">
        <f>(S16*T16+R16*U16)*V16*12/1000</f>
        <v>376380</v>
      </c>
      <c r="Y16" s="95">
        <f t="shared" si="3"/>
        <v>7.5</v>
      </c>
      <c r="Z16" s="96">
        <f>+AD$3</f>
        <v>14000</v>
      </c>
      <c r="AA16" s="95">
        <v>10.5</v>
      </c>
      <c r="AB16" s="96">
        <f>+AD$4</f>
        <v>5000</v>
      </c>
      <c r="AC16" s="98">
        <v>175</v>
      </c>
      <c r="AD16" s="99">
        <f t="shared" si="2"/>
        <v>184500</v>
      </c>
      <c r="AE16" s="100">
        <f>(Z16*AA16+Y16*AB16)*AC16*12/1000</f>
        <v>387450</v>
      </c>
      <c r="AF16" s="95">
        <v>7.5</v>
      </c>
      <c r="AG16" s="96">
        <f>+AK$3</f>
        <v>14000</v>
      </c>
      <c r="AH16" s="95">
        <v>10.5</v>
      </c>
      <c r="AI16" s="96">
        <f>+AK$4</f>
        <v>5000</v>
      </c>
      <c r="AJ16" s="98">
        <v>180</v>
      </c>
      <c r="AK16" s="102">
        <f>AL16/AJ16/12*1000</f>
        <v>184500</v>
      </c>
      <c r="AL16" s="100">
        <f>(AG16*AH16+AF16*AI16)*AJ16*12/1000</f>
        <v>398520</v>
      </c>
      <c r="AM16" s="95">
        <v>7.5</v>
      </c>
      <c r="AN16" s="96">
        <f>+AR$3</f>
        <v>14000</v>
      </c>
      <c r="AO16" s="95">
        <v>10.5</v>
      </c>
      <c r="AP16" s="96">
        <f>+AR$4</f>
        <v>5000</v>
      </c>
      <c r="AQ16" s="98">
        <v>185</v>
      </c>
      <c r="AR16" s="102">
        <f>AS16/AQ16/12*1000</f>
        <v>184500</v>
      </c>
      <c r="AS16" s="100">
        <f>(AN16*AO16+AM16*AP16)*AQ16*12/1000</f>
        <v>409590</v>
      </c>
    </row>
    <row r="17" spans="1:45" ht="26.25" customHeight="1">
      <c r="B17" s="93">
        <v>9</v>
      </c>
      <c r="C17" s="101" t="s">
        <v>128</v>
      </c>
      <c r="D17" s="95"/>
      <c r="E17" s="96"/>
      <c r="F17" s="97"/>
      <c r="G17" s="96"/>
      <c r="H17" s="98"/>
      <c r="I17" s="105">
        <v>0</v>
      </c>
      <c r="J17" s="106">
        <f>H17*I17*12/1000</f>
        <v>0</v>
      </c>
      <c r="K17" s="95"/>
      <c r="L17" s="96"/>
      <c r="M17" s="97"/>
      <c r="N17" s="96"/>
      <c r="O17" s="98"/>
      <c r="P17" s="105">
        <v>0</v>
      </c>
      <c r="Q17" s="106">
        <f>O17*P17*12/1000</f>
        <v>0</v>
      </c>
      <c r="R17" s="95"/>
      <c r="S17" s="96"/>
      <c r="T17" s="97"/>
      <c r="U17" s="96"/>
      <c r="V17" s="98"/>
      <c r="W17" s="105">
        <v>0</v>
      </c>
      <c r="X17" s="106">
        <f>V17*W17*12/1000</f>
        <v>0</v>
      </c>
      <c r="Y17" s="95"/>
      <c r="Z17" s="96"/>
      <c r="AA17" s="97"/>
      <c r="AB17" s="96"/>
      <c r="AC17" s="98"/>
      <c r="AD17" s="105">
        <v>0</v>
      </c>
      <c r="AE17" s="106">
        <f>AC17*AD17*12/1000</f>
        <v>0</v>
      </c>
      <c r="AF17" s="95"/>
      <c r="AG17" s="96"/>
      <c r="AH17" s="97"/>
      <c r="AI17" s="96"/>
      <c r="AJ17" s="98"/>
      <c r="AK17" s="105">
        <v>0</v>
      </c>
      <c r="AL17" s="106">
        <f>AJ17*AK17*12/1000</f>
        <v>0</v>
      </c>
      <c r="AM17" s="95"/>
      <c r="AN17" s="96"/>
      <c r="AO17" s="97"/>
      <c r="AP17" s="96"/>
      <c r="AQ17" s="98"/>
      <c r="AR17" s="105">
        <v>0</v>
      </c>
      <c r="AS17" s="106">
        <f>AQ17*AR17*12/1000</f>
        <v>0</v>
      </c>
    </row>
    <row r="18" spans="1:45" ht="26.25" customHeight="1">
      <c r="B18" s="93">
        <v>10</v>
      </c>
      <c r="C18" s="101" t="s">
        <v>129</v>
      </c>
      <c r="D18" s="95"/>
      <c r="E18" s="96"/>
      <c r="F18" s="97"/>
      <c r="G18" s="96"/>
      <c r="H18" s="98"/>
      <c r="I18" s="105">
        <v>0</v>
      </c>
      <c r="J18" s="106">
        <f t="shared" ref="J18:J23" si="4">H18*I18*12/1000</f>
        <v>0</v>
      </c>
      <c r="K18" s="95"/>
      <c r="L18" s="96"/>
      <c r="M18" s="97"/>
      <c r="N18" s="96"/>
      <c r="O18" s="98"/>
      <c r="P18" s="105">
        <v>0</v>
      </c>
      <c r="Q18" s="106">
        <f t="shared" ref="Q18:Q23" si="5">O18*P18*12/1000</f>
        <v>0</v>
      </c>
      <c r="R18" s="95"/>
      <c r="S18" s="96"/>
      <c r="T18" s="97"/>
      <c r="U18" s="96"/>
      <c r="V18" s="98"/>
      <c r="W18" s="105">
        <v>0</v>
      </c>
      <c r="X18" s="106">
        <f t="shared" ref="X18:X23" si="6">V18*W18*12/1000</f>
        <v>0</v>
      </c>
      <c r="Y18" s="95"/>
      <c r="Z18" s="96"/>
      <c r="AA18" s="97"/>
      <c r="AB18" s="96"/>
      <c r="AC18" s="98"/>
      <c r="AD18" s="105">
        <v>0</v>
      </c>
      <c r="AE18" s="106">
        <f t="shared" ref="AE18:AE23" si="7">AC18*AD18*12/1000</f>
        <v>0</v>
      </c>
      <c r="AF18" s="95"/>
      <c r="AG18" s="96"/>
      <c r="AH18" s="97"/>
      <c r="AI18" s="96"/>
      <c r="AJ18" s="98"/>
      <c r="AK18" s="105">
        <v>0</v>
      </c>
      <c r="AL18" s="106">
        <f t="shared" ref="AL18:AL23" si="8">AJ18*AK18*12/1000</f>
        <v>0</v>
      </c>
      <c r="AM18" s="95"/>
      <c r="AN18" s="96"/>
      <c r="AO18" s="97"/>
      <c r="AP18" s="96"/>
      <c r="AQ18" s="98"/>
      <c r="AR18" s="105">
        <v>0</v>
      </c>
      <c r="AS18" s="106">
        <f t="shared" ref="AS18:AS23" si="9">AQ18*AR18*12/1000</f>
        <v>0</v>
      </c>
    </row>
    <row r="19" spans="1:45" ht="26.25" customHeight="1">
      <c r="A19" s="107"/>
      <c r="B19" s="93">
        <v>11</v>
      </c>
      <c r="C19" s="108" t="s">
        <v>130</v>
      </c>
      <c r="D19" s="95"/>
      <c r="E19" s="96"/>
      <c r="F19" s="97"/>
      <c r="G19" s="96"/>
      <c r="H19" s="98"/>
      <c r="I19" s="105">
        <v>0</v>
      </c>
      <c r="J19" s="106">
        <f t="shared" si="4"/>
        <v>0</v>
      </c>
      <c r="K19" s="95"/>
      <c r="L19" s="96"/>
      <c r="M19" s="97"/>
      <c r="N19" s="96"/>
      <c r="O19" s="98"/>
      <c r="P19" s="105">
        <v>0</v>
      </c>
      <c r="Q19" s="106">
        <f t="shared" si="5"/>
        <v>0</v>
      </c>
      <c r="R19" s="95"/>
      <c r="S19" s="96"/>
      <c r="T19" s="97"/>
      <c r="U19" s="96"/>
      <c r="V19" s="98"/>
      <c r="W19" s="105">
        <v>0</v>
      </c>
      <c r="X19" s="106">
        <f t="shared" si="6"/>
        <v>0</v>
      </c>
      <c r="Y19" s="95"/>
      <c r="Z19" s="96"/>
      <c r="AA19" s="97"/>
      <c r="AB19" s="96"/>
      <c r="AC19" s="98"/>
      <c r="AD19" s="105">
        <v>0</v>
      </c>
      <c r="AE19" s="106">
        <f t="shared" si="7"/>
        <v>0</v>
      </c>
      <c r="AF19" s="95"/>
      <c r="AG19" s="96"/>
      <c r="AH19" s="97"/>
      <c r="AI19" s="96"/>
      <c r="AJ19" s="98"/>
      <c r="AK19" s="105">
        <v>0</v>
      </c>
      <c r="AL19" s="106">
        <f t="shared" si="8"/>
        <v>0</v>
      </c>
      <c r="AM19" s="95"/>
      <c r="AN19" s="96"/>
      <c r="AO19" s="97"/>
      <c r="AP19" s="96"/>
      <c r="AQ19" s="98"/>
      <c r="AR19" s="105">
        <v>0</v>
      </c>
      <c r="AS19" s="106">
        <f t="shared" si="9"/>
        <v>0</v>
      </c>
    </row>
    <row r="20" spans="1:45" ht="26.25" customHeight="1">
      <c r="A20" s="107"/>
      <c r="B20" s="93">
        <v>12</v>
      </c>
      <c r="C20" s="108" t="s">
        <v>131</v>
      </c>
      <c r="D20" s="95"/>
      <c r="E20" s="96"/>
      <c r="F20" s="97"/>
      <c r="G20" s="96"/>
      <c r="H20" s="98"/>
      <c r="I20" s="105">
        <v>0</v>
      </c>
      <c r="J20" s="106">
        <f t="shared" si="4"/>
        <v>0</v>
      </c>
      <c r="K20" s="95"/>
      <c r="L20" s="96"/>
      <c r="M20" s="97"/>
      <c r="N20" s="96"/>
      <c r="O20" s="98"/>
      <c r="P20" s="105">
        <v>0</v>
      </c>
      <c r="Q20" s="106">
        <f t="shared" si="5"/>
        <v>0</v>
      </c>
      <c r="R20" s="95"/>
      <c r="S20" s="96"/>
      <c r="T20" s="97"/>
      <c r="U20" s="96"/>
      <c r="V20" s="98"/>
      <c r="W20" s="105">
        <v>0</v>
      </c>
      <c r="X20" s="106">
        <f t="shared" si="6"/>
        <v>0</v>
      </c>
      <c r="Y20" s="95"/>
      <c r="Z20" s="96"/>
      <c r="AA20" s="97"/>
      <c r="AB20" s="96"/>
      <c r="AC20" s="98"/>
      <c r="AD20" s="105">
        <v>0</v>
      </c>
      <c r="AE20" s="106">
        <f t="shared" si="7"/>
        <v>0</v>
      </c>
      <c r="AF20" s="95"/>
      <c r="AG20" s="96"/>
      <c r="AH20" s="97"/>
      <c r="AI20" s="96"/>
      <c r="AJ20" s="98"/>
      <c r="AK20" s="105">
        <v>0</v>
      </c>
      <c r="AL20" s="106">
        <f t="shared" si="8"/>
        <v>0</v>
      </c>
      <c r="AM20" s="95"/>
      <c r="AN20" s="96"/>
      <c r="AO20" s="97"/>
      <c r="AP20" s="96"/>
      <c r="AQ20" s="98"/>
      <c r="AR20" s="105">
        <v>0</v>
      </c>
      <c r="AS20" s="106">
        <f t="shared" si="9"/>
        <v>0</v>
      </c>
    </row>
    <row r="21" spans="1:45" ht="26.25" customHeight="1">
      <c r="A21" s="107"/>
      <c r="B21" s="93">
        <v>13</v>
      </c>
      <c r="C21" s="108" t="s">
        <v>132</v>
      </c>
      <c r="D21" s="95"/>
      <c r="E21" s="96"/>
      <c r="F21" s="97"/>
      <c r="G21" s="96"/>
      <c r="H21" s="98"/>
      <c r="I21" s="105">
        <v>0</v>
      </c>
      <c r="J21" s="106">
        <f t="shared" si="4"/>
        <v>0</v>
      </c>
      <c r="K21" s="95"/>
      <c r="L21" s="96"/>
      <c r="M21" s="97"/>
      <c r="N21" s="96"/>
      <c r="O21" s="98"/>
      <c r="P21" s="105">
        <v>0</v>
      </c>
      <c r="Q21" s="106">
        <f t="shared" si="5"/>
        <v>0</v>
      </c>
      <c r="R21" s="95"/>
      <c r="S21" s="96"/>
      <c r="T21" s="97"/>
      <c r="U21" s="96"/>
      <c r="V21" s="98"/>
      <c r="W21" s="105">
        <v>0</v>
      </c>
      <c r="X21" s="106">
        <f t="shared" si="6"/>
        <v>0</v>
      </c>
      <c r="Y21" s="95"/>
      <c r="Z21" s="96"/>
      <c r="AA21" s="97"/>
      <c r="AB21" s="96"/>
      <c r="AC21" s="98"/>
      <c r="AD21" s="105">
        <v>0</v>
      </c>
      <c r="AE21" s="106">
        <f t="shared" si="7"/>
        <v>0</v>
      </c>
      <c r="AF21" s="95"/>
      <c r="AG21" s="96"/>
      <c r="AH21" s="97"/>
      <c r="AI21" s="96"/>
      <c r="AJ21" s="98"/>
      <c r="AK21" s="105">
        <v>0</v>
      </c>
      <c r="AL21" s="106">
        <f t="shared" si="8"/>
        <v>0</v>
      </c>
      <c r="AM21" s="95"/>
      <c r="AN21" s="96"/>
      <c r="AO21" s="97"/>
      <c r="AP21" s="96"/>
      <c r="AQ21" s="98"/>
      <c r="AR21" s="105">
        <v>0</v>
      </c>
      <c r="AS21" s="106">
        <f t="shared" si="9"/>
        <v>0</v>
      </c>
    </row>
    <row r="22" spans="1:45" ht="26.25" customHeight="1">
      <c r="A22" s="107"/>
      <c r="B22" s="93">
        <v>14</v>
      </c>
      <c r="C22" s="108" t="s">
        <v>133</v>
      </c>
      <c r="D22" s="95"/>
      <c r="E22" s="96"/>
      <c r="F22" s="97"/>
      <c r="G22" s="96"/>
      <c r="H22" s="98"/>
      <c r="I22" s="105">
        <v>0</v>
      </c>
      <c r="J22" s="106">
        <f t="shared" si="4"/>
        <v>0</v>
      </c>
      <c r="K22" s="95"/>
      <c r="L22" s="96"/>
      <c r="M22" s="97"/>
      <c r="N22" s="96"/>
      <c r="O22" s="98"/>
      <c r="P22" s="105">
        <v>0</v>
      </c>
      <c r="Q22" s="106">
        <f t="shared" si="5"/>
        <v>0</v>
      </c>
      <c r="R22" s="95"/>
      <c r="S22" s="96"/>
      <c r="T22" s="97"/>
      <c r="U22" s="96"/>
      <c r="V22" s="98"/>
      <c r="W22" s="105">
        <v>0</v>
      </c>
      <c r="X22" s="106">
        <f t="shared" si="6"/>
        <v>0</v>
      </c>
      <c r="Y22" s="95"/>
      <c r="Z22" s="96"/>
      <c r="AA22" s="97"/>
      <c r="AB22" s="96"/>
      <c r="AC22" s="98"/>
      <c r="AD22" s="105">
        <v>0</v>
      </c>
      <c r="AE22" s="106">
        <f t="shared" si="7"/>
        <v>0</v>
      </c>
      <c r="AF22" s="95"/>
      <c r="AG22" s="96"/>
      <c r="AH22" s="97"/>
      <c r="AI22" s="96"/>
      <c r="AJ22" s="98"/>
      <c r="AK22" s="105">
        <v>0</v>
      </c>
      <c r="AL22" s="106">
        <f t="shared" si="8"/>
        <v>0</v>
      </c>
      <c r="AM22" s="95"/>
      <c r="AN22" s="96"/>
      <c r="AO22" s="97"/>
      <c r="AP22" s="96"/>
      <c r="AQ22" s="98"/>
      <c r="AR22" s="105">
        <v>0</v>
      </c>
      <c r="AS22" s="106">
        <f t="shared" si="9"/>
        <v>0</v>
      </c>
    </row>
    <row r="23" spans="1:45" s="109" customFormat="1" ht="26.25" customHeight="1">
      <c r="B23" s="93">
        <v>15</v>
      </c>
      <c r="C23" s="110" t="s">
        <v>134</v>
      </c>
      <c r="D23" s="111"/>
      <c r="E23" s="111"/>
      <c r="F23" s="111"/>
      <c r="G23" s="111"/>
      <c r="H23" s="98"/>
      <c r="I23" s="105">
        <v>0</v>
      </c>
      <c r="J23" s="106">
        <f t="shared" si="4"/>
        <v>0</v>
      </c>
      <c r="K23" s="111"/>
      <c r="L23" s="111"/>
      <c r="M23" s="111"/>
      <c r="N23" s="111"/>
      <c r="O23" s="98"/>
      <c r="P23" s="105">
        <v>0</v>
      </c>
      <c r="Q23" s="106">
        <f t="shared" si="5"/>
        <v>0</v>
      </c>
      <c r="R23" s="111"/>
      <c r="S23" s="111"/>
      <c r="T23" s="111"/>
      <c r="U23" s="111"/>
      <c r="V23" s="98"/>
      <c r="W23" s="105">
        <v>0</v>
      </c>
      <c r="X23" s="106">
        <f t="shared" si="6"/>
        <v>0</v>
      </c>
      <c r="Y23" s="111"/>
      <c r="Z23" s="111"/>
      <c r="AA23" s="111"/>
      <c r="AB23" s="111"/>
      <c r="AC23" s="98"/>
      <c r="AD23" s="105">
        <v>0</v>
      </c>
      <c r="AE23" s="106">
        <f t="shared" si="7"/>
        <v>0</v>
      </c>
      <c r="AF23" s="111"/>
      <c r="AG23" s="111"/>
      <c r="AH23" s="111"/>
      <c r="AI23" s="111"/>
      <c r="AJ23" s="98"/>
      <c r="AK23" s="105">
        <v>0</v>
      </c>
      <c r="AL23" s="106">
        <f t="shared" si="8"/>
        <v>0</v>
      </c>
      <c r="AM23" s="111"/>
      <c r="AN23" s="111"/>
      <c r="AO23" s="111"/>
      <c r="AP23" s="111"/>
      <c r="AQ23" s="98"/>
      <c r="AR23" s="105">
        <v>0</v>
      </c>
      <c r="AS23" s="106">
        <f t="shared" si="9"/>
        <v>0</v>
      </c>
    </row>
    <row r="24" spans="1:45" ht="55.5" customHeight="1">
      <c r="B24" s="93">
        <v>16</v>
      </c>
      <c r="C24" s="112" t="s">
        <v>135</v>
      </c>
      <c r="D24" s="96"/>
      <c r="E24" s="96"/>
      <c r="F24" s="96"/>
      <c r="G24" s="96"/>
      <c r="H24" s="98">
        <v>9</v>
      </c>
      <c r="I24" s="376">
        <v>310000</v>
      </c>
      <c r="J24" s="375">
        <f>H24*I24*12/1000</f>
        <v>33480</v>
      </c>
      <c r="K24" s="96"/>
      <c r="L24" s="96"/>
      <c r="M24" s="96"/>
      <c r="N24" s="96"/>
      <c r="O24" s="98">
        <v>10</v>
      </c>
      <c r="P24" s="102">
        <v>309000</v>
      </c>
      <c r="Q24" s="100">
        <f>O24*P24*12/1000</f>
        <v>37080</v>
      </c>
      <c r="R24" s="96"/>
      <c r="S24" s="96"/>
      <c r="T24" s="96"/>
      <c r="U24" s="96"/>
      <c r="V24" s="98">
        <v>10</v>
      </c>
      <c r="W24" s="102">
        <v>309000</v>
      </c>
      <c r="X24" s="100">
        <f>V24*W24*12/1000</f>
        <v>37080</v>
      </c>
      <c r="Y24" s="95">
        <f>+R24</f>
        <v>0</v>
      </c>
      <c r="Z24" s="96"/>
      <c r="AA24" s="96"/>
      <c r="AB24" s="96"/>
      <c r="AC24" s="98">
        <f t="shared" ref="AC24:AD25" si="10">+V24</f>
        <v>10</v>
      </c>
      <c r="AD24" s="99">
        <f t="shared" si="10"/>
        <v>309000</v>
      </c>
      <c r="AE24" s="100">
        <f>AC24*AD24*12/1000</f>
        <v>37080</v>
      </c>
      <c r="AF24" s="96"/>
      <c r="AG24" s="96"/>
      <c r="AH24" s="96"/>
      <c r="AI24" s="96"/>
      <c r="AJ24" s="98">
        <v>10</v>
      </c>
      <c r="AK24" s="102">
        <v>309000</v>
      </c>
      <c r="AL24" s="100">
        <f>AJ24*AK24*12/1000</f>
        <v>37080</v>
      </c>
      <c r="AM24" s="96"/>
      <c r="AN24" s="96"/>
      <c r="AO24" s="96"/>
      <c r="AP24" s="96"/>
      <c r="AQ24" s="98">
        <v>10</v>
      </c>
      <c r="AR24" s="102">
        <v>309000</v>
      </c>
      <c r="AS24" s="100">
        <f>AQ24*AR24*12/1000</f>
        <v>37080</v>
      </c>
    </row>
    <row r="25" spans="1:45" ht="46.5" customHeight="1">
      <c r="B25" s="93">
        <v>17</v>
      </c>
      <c r="C25" s="113" t="s">
        <v>136</v>
      </c>
      <c r="D25" s="95">
        <v>15.5</v>
      </c>
      <c r="E25" s="96">
        <f>+I$3</f>
        <v>14000</v>
      </c>
      <c r="F25" s="95">
        <v>10</v>
      </c>
      <c r="G25" s="96">
        <f>+I$4</f>
        <v>5000</v>
      </c>
      <c r="H25" s="98">
        <v>60</v>
      </c>
      <c r="I25" s="376">
        <v>211255</v>
      </c>
      <c r="J25" s="375">
        <f>H25*I25*12/1000</f>
        <v>152103.6</v>
      </c>
      <c r="K25" s="95">
        <v>15.5</v>
      </c>
      <c r="L25" s="96">
        <f>+P$3</f>
        <v>14000</v>
      </c>
      <c r="M25" s="95">
        <v>10</v>
      </c>
      <c r="N25" s="96">
        <f>+P$4</f>
        <v>5000</v>
      </c>
      <c r="O25" s="104">
        <v>42</v>
      </c>
      <c r="P25" s="102">
        <f>Q25/O25/12*1000</f>
        <v>217500</v>
      </c>
      <c r="Q25" s="100">
        <f>(L25*M25+K25*N25)*O25*12/1000</f>
        <v>109620</v>
      </c>
      <c r="R25" s="95">
        <v>15.3</v>
      </c>
      <c r="S25" s="96">
        <f>+W$3</f>
        <v>14000</v>
      </c>
      <c r="T25" s="95">
        <v>10</v>
      </c>
      <c r="U25" s="96">
        <f>+W$4</f>
        <v>5000</v>
      </c>
      <c r="V25" s="104">
        <v>50</v>
      </c>
      <c r="W25" s="102">
        <f>X25/V25/12*1000</f>
        <v>216500</v>
      </c>
      <c r="X25" s="100">
        <f>(S25*T25+R25*U25)*V25*12/1000</f>
        <v>129900</v>
      </c>
      <c r="Y25" s="95">
        <f t="shared" ref="Y25:Y26" si="11">+R25</f>
        <v>15.3</v>
      </c>
      <c r="Z25" s="96">
        <f>+AD$3</f>
        <v>14000</v>
      </c>
      <c r="AA25" s="95">
        <v>10</v>
      </c>
      <c r="AB25" s="96">
        <f>+AD$4</f>
        <v>5000</v>
      </c>
      <c r="AC25" s="98">
        <v>55</v>
      </c>
      <c r="AD25" s="99">
        <f t="shared" si="10"/>
        <v>216500</v>
      </c>
      <c r="AE25" s="100">
        <f>(Z25*AA25+Y25*AB25)*AC25*12/1000</f>
        <v>142890</v>
      </c>
      <c r="AF25" s="95">
        <v>15.5</v>
      </c>
      <c r="AG25" s="96">
        <f>+AK$3</f>
        <v>14000</v>
      </c>
      <c r="AH25" s="95">
        <v>10</v>
      </c>
      <c r="AI25" s="96">
        <f>+AK$4</f>
        <v>5000</v>
      </c>
      <c r="AJ25" s="104">
        <v>60</v>
      </c>
      <c r="AK25" s="102">
        <f>AL25/AJ25/12*1000</f>
        <v>217500</v>
      </c>
      <c r="AL25" s="100">
        <f>(AG25*AH25+AF25*AI25)*AJ25*12/1000</f>
        <v>156600</v>
      </c>
      <c r="AM25" s="95">
        <v>15.5</v>
      </c>
      <c r="AN25" s="96">
        <f>+AR$3</f>
        <v>14000</v>
      </c>
      <c r="AO25" s="95">
        <v>10</v>
      </c>
      <c r="AP25" s="96">
        <f>+AR$4</f>
        <v>5000</v>
      </c>
      <c r="AQ25" s="104">
        <v>65</v>
      </c>
      <c r="AR25" s="102">
        <f>AS25/AQ25/12*1000</f>
        <v>217500</v>
      </c>
      <c r="AS25" s="100">
        <f>(AN25*AO25+AM25*AP25)*AQ25*12/1000</f>
        <v>169650</v>
      </c>
    </row>
    <row r="26" spans="1:45" s="114" customFormat="1" ht="39" customHeight="1">
      <c r="B26" s="115"/>
      <c r="C26" s="116" t="s">
        <v>137</v>
      </c>
      <c r="D26" s="117"/>
      <c r="E26" s="118"/>
      <c r="F26" s="118"/>
      <c r="G26" s="118"/>
      <c r="H26" s="119">
        <f>SUM(H9:H25)</f>
        <v>708</v>
      </c>
      <c r="I26" s="120">
        <f>J26/H26/12*1000</f>
        <v>343906.60310734465</v>
      </c>
      <c r="J26" s="121">
        <f>SUM(J9:J25)</f>
        <v>2921830.5000000005</v>
      </c>
      <c r="K26" s="117"/>
      <c r="L26" s="118"/>
      <c r="M26" s="118"/>
      <c r="N26" s="118"/>
      <c r="O26" s="119">
        <f>SUM(O9:O25)</f>
        <v>745</v>
      </c>
      <c r="P26" s="120">
        <f>Q26/O26/12*1000</f>
        <v>352045.72080536914</v>
      </c>
      <c r="Q26" s="121">
        <f>SUM(Q9:Q25)</f>
        <v>3147288.7439999999</v>
      </c>
      <c r="R26" s="117"/>
      <c r="S26" s="118"/>
      <c r="T26" s="118"/>
      <c r="U26" s="118"/>
      <c r="V26" s="119">
        <f>SUM(V9:V25)</f>
        <v>783</v>
      </c>
      <c r="W26" s="120">
        <f>X26/V26/12*1000</f>
        <v>348804.36781609186</v>
      </c>
      <c r="X26" s="121">
        <f>SUM(X9:X25)</f>
        <v>3277365.84</v>
      </c>
      <c r="Y26" s="95">
        <f t="shared" si="11"/>
        <v>0</v>
      </c>
      <c r="Z26" s="118"/>
      <c r="AA26" s="118"/>
      <c r="AB26" s="118"/>
      <c r="AC26" s="119">
        <f>SUM(AC9:AC25)</f>
        <v>818</v>
      </c>
      <c r="AD26" s="120">
        <f>AE26/AC26/12*1000</f>
        <v>348122.76283618581</v>
      </c>
      <c r="AE26" s="121">
        <f>SUM(AE9:AE25)</f>
        <v>3417173.04</v>
      </c>
      <c r="AF26" s="117"/>
      <c r="AG26" s="118"/>
      <c r="AH26" s="118"/>
      <c r="AI26" s="118"/>
      <c r="AJ26" s="119">
        <f>SUM(AJ9:AJ25)</f>
        <v>848</v>
      </c>
      <c r="AK26" s="120">
        <f>AL26/AJ26/12*1000</f>
        <v>340448.26061320753</v>
      </c>
      <c r="AL26" s="121">
        <f>SUM(AL9:AL25)</f>
        <v>3464401.5</v>
      </c>
      <c r="AM26" s="117"/>
      <c r="AN26" s="118"/>
      <c r="AO26" s="118"/>
      <c r="AP26" s="118"/>
      <c r="AQ26" s="119">
        <f>SUM(AQ9:AQ25)</f>
        <v>876</v>
      </c>
      <c r="AR26" s="120">
        <f>AS26/AQ26/12*1000</f>
        <v>339214.97831050225</v>
      </c>
      <c r="AS26" s="121">
        <f>SUM(AS9:AS25)</f>
        <v>3565827.852</v>
      </c>
    </row>
    <row r="27" spans="1:45" ht="32.25" customHeight="1">
      <c r="B27" s="122"/>
      <c r="C27" s="123" t="s">
        <v>138</v>
      </c>
      <c r="D27" s="121"/>
      <c r="E27" s="121"/>
      <c r="F27" s="121"/>
      <c r="G27" s="121"/>
      <c r="H27" s="124"/>
      <c r="I27" s="125"/>
      <c r="J27" s="124"/>
      <c r="K27" s="121"/>
      <c r="L27" s="121"/>
      <c r="M27" s="121"/>
      <c r="N27" s="121"/>
      <c r="O27" s="124"/>
      <c r="P27" s="125"/>
      <c r="Q27" s="124"/>
      <c r="R27" s="121"/>
      <c r="S27" s="121"/>
      <c r="T27" s="121"/>
      <c r="U27" s="121"/>
      <c r="V27" s="124"/>
      <c r="W27" s="125"/>
      <c r="X27" s="124"/>
      <c r="Y27" s="121"/>
      <c r="Z27" s="121"/>
      <c r="AA27" s="121"/>
      <c r="AB27" s="121"/>
      <c r="AC27" s="124"/>
      <c r="AD27" s="125"/>
      <c r="AE27" s="124"/>
      <c r="AF27" s="121"/>
      <c r="AG27" s="121"/>
      <c r="AH27" s="121"/>
      <c r="AI27" s="121"/>
      <c r="AJ27" s="124"/>
      <c r="AK27" s="125"/>
      <c r="AL27" s="124"/>
      <c r="AM27" s="121"/>
      <c r="AN27" s="121"/>
      <c r="AO27" s="121"/>
      <c r="AP27" s="121"/>
      <c r="AQ27" s="124"/>
      <c r="AR27" s="125"/>
      <c r="AS27" s="124"/>
    </row>
    <row r="28" spans="1:45" ht="29.25" customHeight="1">
      <c r="B28" s="122"/>
      <c r="C28" s="126" t="s">
        <v>139</v>
      </c>
      <c r="D28" s="117"/>
      <c r="E28" s="127"/>
      <c r="F28" s="121"/>
      <c r="G28" s="128"/>
      <c r="H28" s="117">
        <f>SUM(H26:H27)</f>
        <v>708</v>
      </c>
      <c r="I28" s="99">
        <f>J28/H28/12*1000</f>
        <v>343906.60310734465</v>
      </c>
      <c r="J28" s="121">
        <f>SUM(J26:J27)</f>
        <v>2921830.5000000005</v>
      </c>
      <c r="K28" s="117"/>
      <c r="L28" s="127"/>
      <c r="M28" s="121"/>
      <c r="N28" s="128"/>
      <c r="O28" s="117">
        <f>SUM(O26:O27)</f>
        <v>745</v>
      </c>
      <c r="P28" s="99">
        <f>Q28/O28/12*1000</f>
        <v>352045.72080536914</v>
      </c>
      <c r="Q28" s="121">
        <f>SUM(Q26:Q27)</f>
        <v>3147288.7439999999</v>
      </c>
      <c r="R28" s="117"/>
      <c r="S28" s="127"/>
      <c r="T28" s="121"/>
      <c r="U28" s="128"/>
      <c r="V28" s="117">
        <f>SUM(V26:V27)</f>
        <v>783</v>
      </c>
      <c r="W28" s="99">
        <f>X28/V28/12*1000</f>
        <v>348804.36781609186</v>
      </c>
      <c r="X28" s="121">
        <f>SUM(X26:X27)</f>
        <v>3277365.84</v>
      </c>
      <c r="Y28" s="117"/>
      <c r="Z28" s="127"/>
      <c r="AA28" s="121"/>
      <c r="AB28" s="128"/>
      <c r="AC28" s="117">
        <f>SUM(AC26:AC27)</f>
        <v>818</v>
      </c>
      <c r="AD28" s="99">
        <f>AE28/AC28/12*1000</f>
        <v>348122.76283618581</v>
      </c>
      <c r="AE28" s="121">
        <f>SUM(AE26:AE27)</f>
        <v>3417173.04</v>
      </c>
      <c r="AF28" s="117"/>
      <c r="AG28" s="127"/>
      <c r="AH28" s="121"/>
      <c r="AI28" s="128"/>
      <c r="AJ28" s="117">
        <f>SUM(AJ26:AJ27)</f>
        <v>848</v>
      </c>
      <c r="AK28" s="99">
        <f>AL28/AJ28/12*1000</f>
        <v>340448.26061320753</v>
      </c>
      <c r="AL28" s="121">
        <f>SUM(AL26:AL27)</f>
        <v>3464401.5</v>
      </c>
      <c r="AM28" s="117"/>
      <c r="AN28" s="127"/>
      <c r="AO28" s="121"/>
      <c r="AP28" s="128"/>
      <c r="AQ28" s="117">
        <f>SUM(AQ26:AQ27)</f>
        <v>876</v>
      </c>
      <c r="AR28" s="99">
        <f>AS28/AQ28/12*1000</f>
        <v>339214.97831050225</v>
      </c>
      <c r="AS28" s="121">
        <f>SUM(AS26:AS27)</f>
        <v>3565827.852</v>
      </c>
    </row>
    <row r="29" spans="1:45" ht="20.25" customHeight="1">
      <c r="B29" s="129"/>
      <c r="C29" s="129" t="s">
        <v>140</v>
      </c>
      <c r="Q29" s="130">
        <f>+Q28/J28*100</f>
        <v>107.71633549584753</v>
      </c>
      <c r="X29" s="130">
        <f>+X28/Q28*100</f>
        <v>104.13298894955156</v>
      </c>
      <c r="AE29" s="130">
        <f>+AE28/X28*100</f>
        <v>104.26584052026368</v>
      </c>
      <c r="AL29" s="130">
        <f>+AL28/AE28*100</f>
        <v>101.38209155483679</v>
      </c>
      <c r="AS29" s="130">
        <f>+AS28/AL28*100</f>
        <v>102.92767313488346</v>
      </c>
    </row>
    <row r="30" spans="1:45" ht="26.25" customHeight="1">
      <c r="A30" s="131"/>
      <c r="B30" s="131"/>
      <c r="C30" s="81" t="s">
        <v>141</v>
      </c>
      <c r="X30" s="379">
        <v>3213000</v>
      </c>
    </row>
    <row r="31" spans="1:45" ht="21.75" customHeight="1">
      <c r="B31" s="131"/>
    </row>
    <row r="32" spans="1:45" ht="67.5">
      <c r="C32" s="131" t="s">
        <v>142</v>
      </c>
    </row>
  </sheetData>
  <mergeCells count="9">
    <mergeCell ref="Y6:AE6"/>
    <mergeCell ref="AF6:AL6"/>
    <mergeCell ref="AM6:AS6"/>
    <mergeCell ref="B5:C5"/>
    <mergeCell ref="B6:B7"/>
    <mergeCell ref="C6:C7"/>
    <mergeCell ref="D6:J6"/>
    <mergeCell ref="K6:Q6"/>
    <mergeCell ref="R6:X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N170"/>
  <sheetViews>
    <sheetView workbookViewId="0">
      <pane xSplit="2" ySplit="7" topLeftCell="C71" activePane="bottomRight" state="frozen"/>
      <selection activeCell="A74" sqref="A74:IV74"/>
      <selection pane="topRight" activeCell="A74" sqref="A74:IV74"/>
      <selection pane="bottomLeft" activeCell="A74" sqref="A74:IV74"/>
      <selection pane="bottomRight" activeCell="A74" sqref="A74:IV74"/>
    </sheetView>
  </sheetViews>
  <sheetFormatPr defaultColWidth="8.85546875" defaultRowHeight="15"/>
  <cols>
    <col min="1" max="1" width="5.7109375" bestFit="1" customWidth="1"/>
    <col min="2" max="2" width="9.140625" bestFit="1" customWidth="1"/>
    <col min="3" max="3" width="8.7109375" bestFit="1" customWidth="1"/>
    <col min="4" max="4" width="22.140625" style="8" customWidth="1"/>
    <col min="5" max="7" width="8.42578125" style="8" customWidth="1"/>
    <col min="8" max="8" width="8.42578125" bestFit="1" customWidth="1"/>
    <col min="9" max="9" width="8.28515625" customWidth="1"/>
    <col min="10" max="10" width="8.42578125" bestFit="1" customWidth="1"/>
    <col min="11" max="11" width="9.42578125" customWidth="1"/>
    <col min="12" max="12" width="8.42578125" bestFit="1" customWidth="1"/>
  </cols>
  <sheetData>
    <row r="5" spans="1:14">
      <c r="C5" s="3" t="s">
        <v>2</v>
      </c>
    </row>
    <row r="6" spans="1:14" ht="101.25" customHeight="1">
      <c r="A6" s="6"/>
      <c r="B6" s="6"/>
      <c r="C6" s="618" t="s">
        <v>6</v>
      </c>
      <c r="D6" s="619"/>
      <c r="E6" s="618" t="s">
        <v>5</v>
      </c>
      <c r="F6" s="621"/>
      <c r="G6" s="619"/>
      <c r="H6" s="618" t="s">
        <v>8</v>
      </c>
      <c r="I6" s="619"/>
      <c r="J6" s="618" t="s">
        <v>9</v>
      </c>
      <c r="K6" s="619"/>
      <c r="L6" s="618" t="s">
        <v>10</v>
      </c>
      <c r="M6" s="619"/>
    </row>
    <row r="7" spans="1:14" s="5" customFormat="1" ht="27">
      <c r="A7" s="4" t="s">
        <v>0</v>
      </c>
      <c r="B7" s="4" t="s">
        <v>3</v>
      </c>
      <c r="C7" s="4" t="s">
        <v>1</v>
      </c>
      <c r="D7" s="4" t="s">
        <v>7</v>
      </c>
      <c r="E7" s="4" t="s">
        <v>1</v>
      </c>
      <c r="F7" s="7" t="s">
        <v>4</v>
      </c>
      <c r="G7" s="4" t="s">
        <v>7</v>
      </c>
      <c r="H7" s="7" t="s">
        <v>1</v>
      </c>
      <c r="I7" s="4" t="s">
        <v>7</v>
      </c>
      <c r="J7" s="7" t="s">
        <v>1</v>
      </c>
      <c r="K7" s="4" t="s">
        <v>7</v>
      </c>
      <c r="L7" s="11" t="s">
        <v>1</v>
      </c>
      <c r="M7" s="4" t="s">
        <v>7</v>
      </c>
    </row>
    <row r="8" spans="1:14">
      <c r="A8" s="1">
        <v>0</v>
      </c>
      <c r="B8" s="1">
        <v>18000</v>
      </c>
      <c r="C8" s="9"/>
      <c r="D8" s="9"/>
      <c r="E8" s="9">
        <v>29</v>
      </c>
      <c r="F8" s="9">
        <v>0</v>
      </c>
      <c r="G8" s="9">
        <v>29513.79</v>
      </c>
      <c r="H8" s="9">
        <v>6</v>
      </c>
      <c r="I8" s="9">
        <v>33700</v>
      </c>
      <c r="J8" s="9">
        <v>9</v>
      </c>
      <c r="K8" s="9">
        <v>31411.11</v>
      </c>
      <c r="L8" s="9">
        <v>14</v>
      </c>
      <c r="M8" s="9">
        <v>26500</v>
      </c>
      <c r="N8" s="8"/>
    </row>
    <row r="9" spans="1:14">
      <c r="A9" s="1">
        <v>1</v>
      </c>
      <c r="B9" s="1">
        <v>18095</v>
      </c>
      <c r="C9" s="9"/>
      <c r="D9" s="9"/>
      <c r="E9" s="9">
        <v>3</v>
      </c>
      <c r="F9" s="9">
        <v>3</v>
      </c>
      <c r="G9" s="9">
        <v>27700</v>
      </c>
      <c r="H9" s="9"/>
      <c r="I9" s="9"/>
      <c r="J9" s="9">
        <v>1</v>
      </c>
      <c r="K9" s="9">
        <v>30100</v>
      </c>
      <c r="L9" s="9">
        <v>2</v>
      </c>
      <c r="M9" s="9">
        <v>26500</v>
      </c>
      <c r="N9" s="8"/>
    </row>
    <row r="10" spans="1:14">
      <c r="A10" s="1">
        <v>2</v>
      </c>
      <c r="B10" s="1">
        <v>18380</v>
      </c>
      <c r="C10" s="9"/>
      <c r="D10" s="9"/>
      <c r="E10" s="9">
        <v>34</v>
      </c>
      <c r="F10" s="9">
        <v>68</v>
      </c>
      <c r="G10" s="9">
        <v>29358.82</v>
      </c>
      <c r="H10" s="9">
        <v>5</v>
      </c>
      <c r="I10" s="9">
        <v>33700</v>
      </c>
      <c r="J10" s="9">
        <v>17</v>
      </c>
      <c r="K10" s="9">
        <v>30100</v>
      </c>
      <c r="L10" s="9">
        <v>12</v>
      </c>
      <c r="M10" s="9">
        <v>26500</v>
      </c>
      <c r="N10" s="8"/>
    </row>
    <row r="11" spans="1:14">
      <c r="A11" s="1">
        <v>3</v>
      </c>
      <c r="B11" s="1">
        <v>18855</v>
      </c>
      <c r="C11" s="9"/>
      <c r="D11" s="9"/>
      <c r="E11" s="9">
        <v>49</v>
      </c>
      <c r="F11" s="9">
        <v>147</v>
      </c>
      <c r="G11" s="9">
        <v>29144.9</v>
      </c>
      <c r="H11" s="9">
        <v>3</v>
      </c>
      <c r="I11" s="9">
        <v>33700</v>
      </c>
      <c r="J11" s="9">
        <v>30</v>
      </c>
      <c r="K11" s="9">
        <v>30100</v>
      </c>
      <c r="L11" s="9">
        <v>16</v>
      </c>
      <c r="M11" s="9">
        <v>26500</v>
      </c>
      <c r="N11" s="8"/>
    </row>
    <row r="12" spans="1:14">
      <c r="A12" s="1">
        <v>4</v>
      </c>
      <c r="B12" s="1">
        <v>19520</v>
      </c>
      <c r="C12" s="9"/>
      <c r="D12" s="9"/>
      <c r="E12" s="9">
        <v>72</v>
      </c>
      <c r="F12" s="9">
        <v>288</v>
      </c>
      <c r="G12" s="9">
        <v>28300</v>
      </c>
      <c r="H12" s="9">
        <v>2</v>
      </c>
      <c r="I12" s="9">
        <v>33700</v>
      </c>
      <c r="J12" s="9">
        <v>32</v>
      </c>
      <c r="K12" s="9">
        <v>30100</v>
      </c>
      <c r="L12" s="9">
        <v>38</v>
      </c>
      <c r="M12" s="9">
        <v>26500</v>
      </c>
      <c r="N12" s="8"/>
    </row>
    <row r="13" spans="1:14">
      <c r="A13" s="1">
        <v>5</v>
      </c>
      <c r="B13" s="1">
        <v>20375</v>
      </c>
      <c r="C13" s="9">
        <v>41</v>
      </c>
      <c r="D13" s="9">
        <v>26500</v>
      </c>
      <c r="E13" s="9">
        <v>490</v>
      </c>
      <c r="F13" s="9">
        <v>2450</v>
      </c>
      <c r="G13" s="9">
        <v>29152.240000000002</v>
      </c>
      <c r="H13" s="9">
        <v>48</v>
      </c>
      <c r="I13" s="9">
        <v>33700</v>
      </c>
      <c r="J13" s="9">
        <v>265</v>
      </c>
      <c r="K13" s="9">
        <v>30100</v>
      </c>
      <c r="L13" s="9">
        <v>177</v>
      </c>
      <c r="M13" s="9">
        <v>26500</v>
      </c>
      <c r="N13" s="8"/>
    </row>
    <row r="14" spans="1:14">
      <c r="A14" s="1">
        <v>6</v>
      </c>
      <c r="B14" s="1">
        <v>21420</v>
      </c>
      <c r="C14" s="9">
        <v>53</v>
      </c>
      <c r="D14" s="9">
        <v>26500</v>
      </c>
      <c r="E14" s="9">
        <v>694</v>
      </c>
      <c r="F14" s="9">
        <v>4164</v>
      </c>
      <c r="G14" s="9">
        <v>28984.73</v>
      </c>
      <c r="H14" s="9">
        <v>56</v>
      </c>
      <c r="I14" s="9">
        <v>33700</v>
      </c>
      <c r="J14" s="9">
        <v>367</v>
      </c>
      <c r="K14" s="9">
        <v>30100</v>
      </c>
      <c r="L14" s="9">
        <v>271</v>
      </c>
      <c r="M14" s="9">
        <v>26500</v>
      </c>
      <c r="N14" s="8"/>
    </row>
    <row r="15" spans="1:14">
      <c r="A15" s="1">
        <v>7</v>
      </c>
      <c r="B15" s="1">
        <v>22655</v>
      </c>
      <c r="C15" s="9">
        <v>58</v>
      </c>
      <c r="D15" s="9">
        <v>26500</v>
      </c>
      <c r="E15" s="9">
        <v>855</v>
      </c>
      <c r="F15" s="9">
        <v>5985</v>
      </c>
      <c r="G15" s="9">
        <v>28845.26</v>
      </c>
      <c r="H15" s="9">
        <v>76</v>
      </c>
      <c r="I15" s="9">
        <v>33700</v>
      </c>
      <c r="J15" s="9">
        <v>405</v>
      </c>
      <c r="K15" s="9">
        <v>30100</v>
      </c>
      <c r="L15" s="9">
        <v>374</v>
      </c>
      <c r="M15" s="9">
        <v>26500</v>
      </c>
      <c r="N15" s="8"/>
    </row>
    <row r="16" spans="1:14">
      <c r="A16" s="1">
        <v>8</v>
      </c>
      <c r="B16" s="1">
        <v>24080</v>
      </c>
      <c r="C16" s="9">
        <v>111</v>
      </c>
      <c r="D16" s="9">
        <v>26500</v>
      </c>
      <c r="E16" s="9">
        <v>1135</v>
      </c>
      <c r="F16" s="9">
        <v>9080</v>
      </c>
      <c r="G16" s="9">
        <v>28630.23</v>
      </c>
      <c r="H16" s="9">
        <v>79</v>
      </c>
      <c r="I16" s="9">
        <v>33700</v>
      </c>
      <c r="J16" s="9">
        <v>513</v>
      </c>
      <c r="K16" s="9">
        <v>30100</v>
      </c>
      <c r="L16" s="9">
        <v>543</v>
      </c>
      <c r="M16" s="9">
        <v>26504.07</v>
      </c>
      <c r="N16" s="8"/>
    </row>
    <row r="17" spans="1:14">
      <c r="A17" s="1">
        <v>9</v>
      </c>
      <c r="B17" s="1">
        <v>25695</v>
      </c>
      <c r="C17" s="9">
        <v>230</v>
      </c>
      <c r="D17" s="9">
        <v>26512.3</v>
      </c>
      <c r="E17" s="9">
        <v>1238</v>
      </c>
      <c r="F17" s="9">
        <v>11142</v>
      </c>
      <c r="G17" s="9">
        <v>28576.25</v>
      </c>
      <c r="H17" s="9">
        <v>77</v>
      </c>
      <c r="I17" s="9">
        <v>33700</v>
      </c>
      <c r="J17" s="9">
        <v>560</v>
      </c>
      <c r="K17" s="9">
        <v>30100</v>
      </c>
      <c r="L17" s="9">
        <v>601</v>
      </c>
      <c r="M17" s="9">
        <v>26500</v>
      </c>
      <c r="N17" s="8"/>
    </row>
    <row r="18" spans="1:14">
      <c r="A18" s="1">
        <v>10</v>
      </c>
      <c r="B18" s="1">
        <v>27500</v>
      </c>
      <c r="C18" s="9">
        <v>856</v>
      </c>
      <c r="D18" s="9">
        <v>27499.53</v>
      </c>
      <c r="E18" s="9">
        <v>1957</v>
      </c>
      <c r="F18" s="9">
        <v>19570</v>
      </c>
      <c r="G18" s="9">
        <v>29189.4</v>
      </c>
      <c r="H18" s="9">
        <v>104</v>
      </c>
      <c r="I18" s="9">
        <v>34615.379999999997</v>
      </c>
      <c r="J18" s="9">
        <v>767</v>
      </c>
      <c r="K18" s="9">
        <v>31033.05</v>
      </c>
      <c r="L18" s="9">
        <v>1086</v>
      </c>
      <c r="M18" s="9">
        <v>27367.68</v>
      </c>
      <c r="N18" s="8"/>
    </row>
    <row r="19" spans="1:14">
      <c r="A19" s="1">
        <v>11</v>
      </c>
      <c r="B19" s="1">
        <v>28100</v>
      </c>
      <c r="C19" s="9">
        <v>1763</v>
      </c>
      <c r="D19" s="9">
        <v>28100</v>
      </c>
      <c r="E19" s="9">
        <v>2550</v>
      </c>
      <c r="F19" s="9">
        <v>28050</v>
      </c>
      <c r="G19" s="9">
        <v>29708.65</v>
      </c>
      <c r="H19" s="9">
        <v>149</v>
      </c>
      <c r="I19" s="9">
        <v>35215</v>
      </c>
      <c r="J19" s="9">
        <v>919</v>
      </c>
      <c r="K19" s="9">
        <v>31624.15</v>
      </c>
      <c r="L19" s="9">
        <v>1482</v>
      </c>
      <c r="M19" s="9">
        <v>27967.23</v>
      </c>
      <c r="N19" s="8"/>
    </row>
    <row r="20" spans="1:14">
      <c r="A20" s="1">
        <v>12</v>
      </c>
      <c r="B20" s="1">
        <v>28710</v>
      </c>
      <c r="C20" s="9">
        <v>2768</v>
      </c>
      <c r="D20" s="9">
        <v>28708.99</v>
      </c>
      <c r="E20" s="9">
        <v>2793</v>
      </c>
      <c r="F20" s="9">
        <v>33516</v>
      </c>
      <c r="G20" s="9">
        <v>30164.61</v>
      </c>
      <c r="H20" s="9">
        <v>149</v>
      </c>
      <c r="I20" s="9">
        <v>35764.639999999999</v>
      </c>
      <c r="J20" s="9">
        <v>948</v>
      </c>
      <c r="K20" s="9">
        <v>32225.65</v>
      </c>
      <c r="L20" s="9">
        <v>1696</v>
      </c>
      <c r="M20" s="9">
        <v>28520.59</v>
      </c>
      <c r="N20" s="8"/>
    </row>
    <row r="21" spans="1:14">
      <c r="A21" s="1">
        <v>13</v>
      </c>
      <c r="B21" s="1">
        <v>29330</v>
      </c>
      <c r="C21" s="9">
        <v>4164</v>
      </c>
      <c r="D21" s="9">
        <v>29329.85</v>
      </c>
      <c r="E21" s="9">
        <v>3113</v>
      </c>
      <c r="F21" s="9">
        <v>40469</v>
      </c>
      <c r="G21" s="9">
        <v>30701.51</v>
      </c>
      <c r="H21" s="9">
        <v>131</v>
      </c>
      <c r="I21" s="9">
        <v>36441.99</v>
      </c>
      <c r="J21" s="9">
        <v>1037</v>
      </c>
      <c r="K21" s="9">
        <v>32847.11</v>
      </c>
      <c r="L21" s="9">
        <v>1945</v>
      </c>
      <c r="M21" s="9">
        <v>29170.92</v>
      </c>
      <c r="N21" s="8"/>
    </row>
    <row r="22" spans="1:14">
      <c r="A22" s="1">
        <v>14</v>
      </c>
      <c r="B22" s="1">
        <v>29960</v>
      </c>
      <c r="C22" s="9">
        <v>5422</v>
      </c>
      <c r="D22" s="9">
        <v>29959.88</v>
      </c>
      <c r="E22" s="9">
        <v>3189</v>
      </c>
      <c r="F22" s="9">
        <v>44646</v>
      </c>
      <c r="G22" s="9">
        <v>31319.83</v>
      </c>
      <c r="H22" s="9">
        <v>133</v>
      </c>
      <c r="I22" s="9">
        <v>37086.620000000003</v>
      </c>
      <c r="J22" s="9">
        <v>1052</v>
      </c>
      <c r="K22" s="9">
        <v>33491.17</v>
      </c>
      <c r="L22" s="9">
        <v>2004</v>
      </c>
      <c r="M22" s="9">
        <v>29797.26</v>
      </c>
      <c r="N22" s="8"/>
    </row>
    <row r="23" spans="1:14">
      <c r="A23" s="1">
        <v>15</v>
      </c>
      <c r="B23" s="1">
        <v>30600</v>
      </c>
      <c r="C23" s="9">
        <v>6564</v>
      </c>
      <c r="D23" s="9">
        <v>30601.09</v>
      </c>
      <c r="E23" s="9">
        <v>3591</v>
      </c>
      <c r="F23" s="9">
        <v>53865</v>
      </c>
      <c r="G23" s="9">
        <v>31925.040000000001</v>
      </c>
      <c r="H23" s="9">
        <v>146</v>
      </c>
      <c r="I23" s="9">
        <v>37753.94</v>
      </c>
      <c r="J23" s="9">
        <v>1170</v>
      </c>
      <c r="K23" s="9">
        <v>34121.81</v>
      </c>
      <c r="L23" s="9">
        <v>2275</v>
      </c>
      <c r="M23" s="9">
        <v>30421.200000000001</v>
      </c>
      <c r="N23" s="8"/>
    </row>
    <row r="24" spans="1:14">
      <c r="A24" s="1">
        <v>16</v>
      </c>
      <c r="B24" s="1">
        <v>31250</v>
      </c>
      <c r="C24" s="9">
        <v>7418</v>
      </c>
      <c r="D24" s="9">
        <v>31248.22</v>
      </c>
      <c r="E24" s="9">
        <v>3504</v>
      </c>
      <c r="F24" s="9">
        <v>56064</v>
      </c>
      <c r="G24" s="9">
        <v>32632.84</v>
      </c>
      <c r="H24" s="9">
        <v>138</v>
      </c>
      <c r="I24" s="9">
        <v>38373.57</v>
      </c>
      <c r="J24" s="9">
        <v>1207</v>
      </c>
      <c r="K24" s="9">
        <v>34801</v>
      </c>
      <c r="L24" s="9">
        <v>2159</v>
      </c>
      <c r="M24" s="9">
        <v>31053.78</v>
      </c>
      <c r="N24" s="8"/>
    </row>
    <row r="25" spans="1:14">
      <c r="A25" s="1">
        <v>17</v>
      </c>
      <c r="B25" s="1">
        <v>31910</v>
      </c>
      <c r="C25" s="9">
        <v>8182</v>
      </c>
      <c r="D25" s="9">
        <v>31910.42</v>
      </c>
      <c r="E25" s="9">
        <v>3487</v>
      </c>
      <c r="F25" s="9">
        <v>59279</v>
      </c>
      <c r="G25" s="9">
        <v>33272.26</v>
      </c>
      <c r="H25" s="9">
        <v>143</v>
      </c>
      <c r="I25" s="9">
        <v>39061.360000000001</v>
      </c>
      <c r="J25" s="9">
        <v>1157</v>
      </c>
      <c r="K25" s="9">
        <v>35436.42</v>
      </c>
      <c r="L25" s="9">
        <v>2187</v>
      </c>
      <c r="M25" s="9">
        <v>31748.81</v>
      </c>
      <c r="N25" s="8"/>
    </row>
    <row r="26" spans="1:14">
      <c r="A26" s="1">
        <v>18</v>
      </c>
      <c r="B26" s="1">
        <v>32580</v>
      </c>
      <c r="C26" s="9">
        <v>8289</v>
      </c>
      <c r="D26" s="9">
        <v>32578.61</v>
      </c>
      <c r="E26" s="9">
        <v>3513</v>
      </c>
      <c r="F26" s="9">
        <v>63234</v>
      </c>
      <c r="G26" s="9">
        <v>33962.75</v>
      </c>
      <c r="H26" s="9">
        <v>140</v>
      </c>
      <c r="I26" s="9">
        <v>39733.71</v>
      </c>
      <c r="J26" s="9">
        <v>1168</v>
      </c>
      <c r="K26" s="9">
        <v>36134.230000000003</v>
      </c>
      <c r="L26" s="9">
        <v>2205</v>
      </c>
      <c r="M26" s="9">
        <v>32446.09</v>
      </c>
      <c r="N26" s="8"/>
    </row>
    <row r="27" spans="1:14">
      <c r="A27" s="1">
        <v>19</v>
      </c>
      <c r="B27" s="1">
        <v>33260</v>
      </c>
      <c r="C27" s="9">
        <v>8585</v>
      </c>
      <c r="D27" s="9">
        <v>33259.46</v>
      </c>
      <c r="E27" s="9">
        <v>3414</v>
      </c>
      <c r="F27" s="9">
        <v>64866</v>
      </c>
      <c r="G27" s="9">
        <v>34681.339999999997</v>
      </c>
      <c r="H27" s="9">
        <v>127</v>
      </c>
      <c r="I27" s="9">
        <v>40404.21</v>
      </c>
      <c r="J27" s="9">
        <v>1191</v>
      </c>
      <c r="K27" s="9">
        <v>36808.589999999997</v>
      </c>
      <c r="L27" s="9">
        <v>2096</v>
      </c>
      <c r="M27" s="9">
        <v>33125.83</v>
      </c>
      <c r="N27" s="8"/>
    </row>
    <row r="28" spans="1:14">
      <c r="A28" s="1">
        <v>20</v>
      </c>
      <c r="B28" s="1">
        <v>33950</v>
      </c>
      <c r="C28" s="9">
        <v>9981</v>
      </c>
      <c r="D28" s="9">
        <v>33949.730000000003</v>
      </c>
      <c r="E28" s="9">
        <v>3616</v>
      </c>
      <c r="F28" s="9">
        <v>72320</v>
      </c>
      <c r="G28" s="9">
        <v>35467.089999999997</v>
      </c>
      <c r="H28" s="9">
        <v>161</v>
      </c>
      <c r="I28" s="9">
        <v>41085.089999999997</v>
      </c>
      <c r="J28" s="9">
        <v>1283</v>
      </c>
      <c r="K28" s="9">
        <v>37492.879999999997</v>
      </c>
      <c r="L28" s="9">
        <v>2172</v>
      </c>
      <c r="M28" s="9">
        <v>33854.03</v>
      </c>
      <c r="N28" s="8"/>
    </row>
    <row r="29" spans="1:14">
      <c r="A29" s="1">
        <v>21</v>
      </c>
      <c r="B29" s="1">
        <v>34650</v>
      </c>
      <c r="C29" s="9">
        <v>9173</v>
      </c>
      <c r="D29" s="9">
        <v>34661.410000000003</v>
      </c>
      <c r="E29" s="9">
        <v>3355</v>
      </c>
      <c r="F29" s="9">
        <v>70455</v>
      </c>
      <c r="G29" s="9">
        <v>36176.83</v>
      </c>
      <c r="H29" s="9">
        <v>130</v>
      </c>
      <c r="I29" s="9">
        <v>41811.58</v>
      </c>
      <c r="J29" s="9">
        <v>1240</v>
      </c>
      <c r="K29" s="9">
        <v>38199.870000000003</v>
      </c>
      <c r="L29" s="9">
        <v>1985</v>
      </c>
      <c r="M29" s="9">
        <v>34544.03</v>
      </c>
      <c r="N29" s="8"/>
    </row>
    <row r="30" spans="1:14">
      <c r="A30" s="1">
        <v>22</v>
      </c>
      <c r="B30" s="1">
        <v>35360</v>
      </c>
      <c r="C30" s="9">
        <v>9093</v>
      </c>
      <c r="D30" s="9">
        <v>35359.61</v>
      </c>
      <c r="E30" s="9">
        <v>3337</v>
      </c>
      <c r="F30" s="9">
        <v>73414</v>
      </c>
      <c r="G30" s="9">
        <v>36925.89</v>
      </c>
      <c r="H30" s="9">
        <v>128</v>
      </c>
      <c r="I30" s="9">
        <v>42516.25</v>
      </c>
      <c r="J30" s="9">
        <v>1264</v>
      </c>
      <c r="K30" s="9">
        <v>38904.879999999997</v>
      </c>
      <c r="L30" s="9">
        <v>1945</v>
      </c>
      <c r="M30" s="9">
        <v>35271.9</v>
      </c>
      <c r="N30" s="8"/>
    </row>
    <row r="31" spans="1:14">
      <c r="A31" s="1">
        <v>23</v>
      </c>
      <c r="B31" s="1">
        <v>36080</v>
      </c>
      <c r="C31" s="9">
        <v>9002</v>
      </c>
      <c r="D31" s="9">
        <v>36079.870000000003</v>
      </c>
      <c r="E31" s="9">
        <v>3241</v>
      </c>
      <c r="F31" s="9">
        <v>74543</v>
      </c>
      <c r="G31" s="9">
        <v>37574.5</v>
      </c>
      <c r="H31" s="9">
        <v>120</v>
      </c>
      <c r="I31" s="9">
        <v>43265.88</v>
      </c>
      <c r="J31" s="9">
        <v>1175</v>
      </c>
      <c r="K31" s="9">
        <v>39646.82</v>
      </c>
      <c r="L31" s="9">
        <v>1946</v>
      </c>
      <c r="M31" s="9">
        <v>35972.28</v>
      </c>
      <c r="N31" s="8"/>
    </row>
    <row r="32" spans="1:14">
      <c r="A32" s="1">
        <v>24</v>
      </c>
      <c r="B32" s="1">
        <v>36810</v>
      </c>
      <c r="C32" s="9">
        <v>9205</v>
      </c>
      <c r="D32" s="9">
        <v>36808.959999999999</v>
      </c>
      <c r="E32" s="9">
        <v>3199</v>
      </c>
      <c r="F32" s="9">
        <v>76776</v>
      </c>
      <c r="G32" s="9">
        <v>38387.01</v>
      </c>
      <c r="H32" s="9">
        <v>113</v>
      </c>
      <c r="I32" s="9">
        <v>44004.959999999999</v>
      </c>
      <c r="J32" s="9">
        <v>1239</v>
      </c>
      <c r="K32" s="9">
        <v>40376.42</v>
      </c>
      <c r="L32" s="9">
        <v>1847</v>
      </c>
      <c r="M32" s="9">
        <v>36708.78</v>
      </c>
      <c r="N32" s="8"/>
    </row>
    <row r="33" spans="1:14">
      <c r="A33" s="1">
        <v>25</v>
      </c>
      <c r="B33" s="1">
        <v>37550</v>
      </c>
      <c r="C33" s="9">
        <v>9721</v>
      </c>
      <c r="D33" s="9">
        <v>37549.550000000003</v>
      </c>
      <c r="E33" s="9">
        <v>3305</v>
      </c>
      <c r="F33" s="9">
        <v>82625</v>
      </c>
      <c r="G33" s="9">
        <v>39191.480000000003</v>
      </c>
      <c r="H33" s="9">
        <v>120</v>
      </c>
      <c r="I33" s="9">
        <v>44750</v>
      </c>
      <c r="J33" s="9">
        <v>1321</v>
      </c>
      <c r="K33" s="9">
        <v>41133.33</v>
      </c>
      <c r="L33" s="9">
        <v>1864</v>
      </c>
      <c r="M33" s="9">
        <v>37457.449999999997</v>
      </c>
      <c r="N33" s="8"/>
    </row>
    <row r="34" spans="1:14">
      <c r="A34" s="1">
        <v>26</v>
      </c>
      <c r="B34" s="1">
        <v>38300</v>
      </c>
      <c r="C34" s="9">
        <v>9758</v>
      </c>
      <c r="D34" s="9">
        <v>38299.03</v>
      </c>
      <c r="E34" s="9">
        <v>3167</v>
      </c>
      <c r="F34" s="9">
        <v>82342</v>
      </c>
      <c r="G34" s="9">
        <v>39991.79</v>
      </c>
      <c r="H34" s="9">
        <v>133</v>
      </c>
      <c r="I34" s="9">
        <v>45486.92</v>
      </c>
      <c r="J34" s="9">
        <v>1274</v>
      </c>
      <c r="K34" s="9">
        <v>41881.33</v>
      </c>
      <c r="L34" s="9">
        <v>1760</v>
      </c>
      <c r="M34" s="9">
        <v>38208.76</v>
      </c>
      <c r="N34" s="8"/>
    </row>
    <row r="35" spans="1:14">
      <c r="A35" s="1">
        <v>27</v>
      </c>
      <c r="B35" s="1">
        <v>39060</v>
      </c>
      <c r="C35" s="9">
        <v>9828</v>
      </c>
      <c r="D35" s="9">
        <v>39059.480000000003</v>
      </c>
      <c r="E35" s="9">
        <v>3081</v>
      </c>
      <c r="F35" s="9">
        <v>83187</v>
      </c>
      <c r="G35" s="9">
        <v>40705.15</v>
      </c>
      <c r="H35" s="9">
        <v>103</v>
      </c>
      <c r="I35" s="9">
        <v>46220.24</v>
      </c>
      <c r="J35" s="9">
        <v>1253</v>
      </c>
      <c r="K35" s="9">
        <v>42641.32</v>
      </c>
      <c r="L35" s="9">
        <v>1725</v>
      </c>
      <c r="M35" s="9">
        <v>38969.449999999997</v>
      </c>
      <c r="N35" s="8"/>
    </row>
    <row r="36" spans="1:14">
      <c r="A36" s="1">
        <v>28</v>
      </c>
      <c r="B36" s="1">
        <v>39830</v>
      </c>
      <c r="C36" s="9">
        <v>9771</v>
      </c>
      <c r="D36" s="9">
        <v>39840.5</v>
      </c>
      <c r="E36" s="9">
        <v>3073</v>
      </c>
      <c r="F36" s="9">
        <v>86044</v>
      </c>
      <c r="G36" s="9">
        <v>41527.58</v>
      </c>
      <c r="H36" s="9">
        <v>123</v>
      </c>
      <c r="I36" s="9">
        <v>47001.22</v>
      </c>
      <c r="J36" s="9">
        <v>1240</v>
      </c>
      <c r="K36" s="9">
        <v>43404.31</v>
      </c>
      <c r="L36" s="9">
        <v>1710</v>
      </c>
      <c r="M36" s="9">
        <v>39772.959999999999</v>
      </c>
      <c r="N36" s="8"/>
    </row>
    <row r="37" spans="1:14">
      <c r="A37" s="1">
        <v>29</v>
      </c>
      <c r="B37" s="1">
        <v>40610</v>
      </c>
      <c r="C37" s="9">
        <v>9848</v>
      </c>
      <c r="D37" s="9">
        <v>40609.69</v>
      </c>
      <c r="E37" s="9">
        <v>2890</v>
      </c>
      <c r="F37" s="9">
        <v>83810</v>
      </c>
      <c r="G37" s="9">
        <v>42312.15</v>
      </c>
      <c r="H37" s="9">
        <v>106</v>
      </c>
      <c r="I37" s="9">
        <v>47810</v>
      </c>
      <c r="J37" s="9">
        <v>1172</v>
      </c>
      <c r="K37" s="9">
        <v>44206.45</v>
      </c>
      <c r="L37" s="9">
        <v>1612</v>
      </c>
      <c r="M37" s="9">
        <v>40573.39</v>
      </c>
      <c r="N37" s="8"/>
    </row>
    <row r="38" spans="1:14">
      <c r="A38" s="1">
        <v>30</v>
      </c>
      <c r="B38" s="1">
        <v>41400</v>
      </c>
      <c r="C38" s="9">
        <v>10168</v>
      </c>
      <c r="D38" s="9">
        <v>41399.699999999997</v>
      </c>
      <c r="E38" s="9">
        <v>2901</v>
      </c>
      <c r="F38" s="9">
        <v>87030</v>
      </c>
      <c r="G38" s="9">
        <v>43271.43</v>
      </c>
      <c r="H38" s="9">
        <v>125</v>
      </c>
      <c r="I38" s="9">
        <v>48566.400000000001</v>
      </c>
      <c r="J38" s="9">
        <v>1262</v>
      </c>
      <c r="K38" s="9">
        <v>44996.67</v>
      </c>
      <c r="L38" s="9">
        <v>1514</v>
      </c>
      <c r="M38" s="9">
        <v>41396.18</v>
      </c>
      <c r="N38" s="8"/>
    </row>
    <row r="39" spans="1:14">
      <c r="A39" s="1">
        <v>31</v>
      </c>
      <c r="B39" s="1">
        <v>42200</v>
      </c>
      <c r="C39" s="9">
        <v>10154</v>
      </c>
      <c r="D39" s="9">
        <v>42199.23</v>
      </c>
      <c r="E39" s="9">
        <v>2680</v>
      </c>
      <c r="F39" s="9">
        <v>83080</v>
      </c>
      <c r="G39" s="9">
        <v>44087.31</v>
      </c>
      <c r="H39" s="9">
        <v>126</v>
      </c>
      <c r="I39" s="9">
        <v>49400</v>
      </c>
      <c r="J39" s="9">
        <v>1153</v>
      </c>
      <c r="K39" s="9">
        <v>45800</v>
      </c>
      <c r="L39" s="9">
        <v>1401</v>
      </c>
      <c r="M39" s="9">
        <v>42200</v>
      </c>
      <c r="N39" s="8"/>
    </row>
    <row r="40" spans="1:14">
      <c r="A40" s="1">
        <v>32</v>
      </c>
      <c r="B40" s="1">
        <v>43010</v>
      </c>
      <c r="C40" s="9">
        <v>10042</v>
      </c>
      <c r="D40" s="9">
        <v>43009.46</v>
      </c>
      <c r="E40" s="9">
        <v>2615</v>
      </c>
      <c r="F40" s="9">
        <v>83680</v>
      </c>
      <c r="G40" s="9">
        <v>44959.69</v>
      </c>
      <c r="H40" s="9">
        <v>124</v>
      </c>
      <c r="I40" s="9">
        <v>50210</v>
      </c>
      <c r="J40" s="9">
        <v>1168</v>
      </c>
      <c r="K40" s="9">
        <v>46609.31</v>
      </c>
      <c r="L40" s="9">
        <v>1323</v>
      </c>
      <c r="M40" s="9">
        <v>43011.25</v>
      </c>
      <c r="N40" s="8"/>
    </row>
    <row r="41" spans="1:14">
      <c r="A41" s="1">
        <v>33</v>
      </c>
      <c r="B41" s="1">
        <v>43830</v>
      </c>
      <c r="C41" s="9">
        <v>9797</v>
      </c>
      <c r="D41" s="9">
        <v>43827.96</v>
      </c>
      <c r="E41" s="9">
        <v>2498</v>
      </c>
      <c r="F41" s="9">
        <v>82434</v>
      </c>
      <c r="G41" s="9">
        <v>45752.17</v>
      </c>
      <c r="H41" s="9">
        <v>101</v>
      </c>
      <c r="I41" s="9">
        <v>51030</v>
      </c>
      <c r="J41" s="9">
        <v>1132</v>
      </c>
      <c r="K41" s="9">
        <v>47430</v>
      </c>
      <c r="L41" s="9">
        <v>1265</v>
      </c>
      <c r="M41" s="9">
        <v>43829.35</v>
      </c>
      <c r="N41" s="8"/>
    </row>
    <row r="42" spans="1:14">
      <c r="A42" s="1">
        <v>34</v>
      </c>
      <c r="B42" s="1">
        <v>44660</v>
      </c>
      <c r="C42" s="9">
        <v>9550</v>
      </c>
      <c r="D42" s="9">
        <v>44660.4</v>
      </c>
      <c r="E42" s="9">
        <v>2349</v>
      </c>
      <c r="F42" s="9">
        <v>79866</v>
      </c>
      <c r="G42" s="9">
        <v>46497.55</v>
      </c>
      <c r="H42" s="9">
        <v>82</v>
      </c>
      <c r="I42" s="9">
        <v>51860</v>
      </c>
      <c r="J42" s="9">
        <v>1035</v>
      </c>
      <c r="K42" s="9">
        <v>48260</v>
      </c>
      <c r="L42" s="9">
        <v>1232</v>
      </c>
      <c r="M42" s="9">
        <v>44660</v>
      </c>
      <c r="N42" s="8"/>
    </row>
    <row r="43" spans="1:14">
      <c r="A43" s="1">
        <v>35</v>
      </c>
      <c r="B43" s="1">
        <v>45500</v>
      </c>
      <c r="C43" s="9">
        <v>11453</v>
      </c>
      <c r="D43" s="9">
        <v>45499.09</v>
      </c>
      <c r="E43" s="9">
        <v>2362</v>
      </c>
      <c r="F43" s="9">
        <v>82670</v>
      </c>
      <c r="G43" s="9">
        <v>47383.59</v>
      </c>
      <c r="H43" s="9">
        <v>94</v>
      </c>
      <c r="I43" s="9">
        <v>52700</v>
      </c>
      <c r="J43" s="9">
        <v>1049</v>
      </c>
      <c r="K43" s="9">
        <v>49098.41</v>
      </c>
      <c r="L43" s="9">
        <v>1219</v>
      </c>
      <c r="M43" s="9">
        <v>45497.96</v>
      </c>
      <c r="N43" s="8"/>
    </row>
    <row r="44" spans="1:14">
      <c r="A44" s="1">
        <v>36</v>
      </c>
      <c r="B44" s="1">
        <v>46350</v>
      </c>
      <c r="C44" s="9">
        <v>10535</v>
      </c>
      <c r="D44" s="9">
        <v>46349.55</v>
      </c>
      <c r="E44" s="9">
        <v>2172</v>
      </c>
      <c r="F44" s="9">
        <v>78192</v>
      </c>
      <c r="G44" s="9">
        <v>48266.51</v>
      </c>
      <c r="H44" s="9">
        <v>92</v>
      </c>
      <c r="I44" s="9">
        <v>53550</v>
      </c>
      <c r="J44" s="9">
        <v>974</v>
      </c>
      <c r="K44" s="9">
        <v>49945.43</v>
      </c>
      <c r="L44" s="9">
        <v>1106</v>
      </c>
      <c r="M44" s="9">
        <v>46348.47</v>
      </c>
      <c r="N44" s="8"/>
    </row>
    <row r="45" spans="1:14">
      <c r="A45" s="1">
        <v>37</v>
      </c>
      <c r="B45" s="1">
        <v>47210</v>
      </c>
      <c r="C45" s="9">
        <v>9517</v>
      </c>
      <c r="D45" s="9">
        <v>47210.52</v>
      </c>
      <c r="E45" s="9">
        <v>2117</v>
      </c>
      <c r="F45" s="9">
        <v>78329</v>
      </c>
      <c r="G45" s="9">
        <v>49123.97</v>
      </c>
      <c r="H45" s="9">
        <v>86</v>
      </c>
      <c r="I45" s="9">
        <v>54410</v>
      </c>
      <c r="J45" s="9">
        <v>954</v>
      </c>
      <c r="K45" s="9">
        <v>50809.1</v>
      </c>
      <c r="L45" s="9">
        <v>1077</v>
      </c>
      <c r="M45" s="9">
        <v>47209.2</v>
      </c>
      <c r="N45" s="8"/>
    </row>
    <row r="46" spans="1:14">
      <c r="A46" s="1">
        <v>38</v>
      </c>
      <c r="B46" s="1">
        <v>48080</v>
      </c>
      <c r="C46" s="9">
        <v>8975</v>
      </c>
      <c r="D46" s="9">
        <v>48079.71</v>
      </c>
      <c r="E46" s="9">
        <v>1999</v>
      </c>
      <c r="F46" s="9">
        <v>75962</v>
      </c>
      <c r="G46" s="9">
        <v>49911.08</v>
      </c>
      <c r="H46" s="9">
        <v>89</v>
      </c>
      <c r="I46" s="9">
        <v>55280</v>
      </c>
      <c r="J46" s="9">
        <v>839</v>
      </c>
      <c r="K46" s="9">
        <v>51680</v>
      </c>
      <c r="L46" s="9">
        <v>1071</v>
      </c>
      <c r="M46" s="9">
        <v>48079.19</v>
      </c>
      <c r="N46" s="8"/>
    </row>
    <row r="47" spans="1:14">
      <c r="A47" s="1">
        <v>39</v>
      </c>
      <c r="B47" s="1">
        <v>48960</v>
      </c>
      <c r="C47" s="9">
        <v>8601</v>
      </c>
      <c r="D47" s="9">
        <v>48960.1</v>
      </c>
      <c r="E47" s="9">
        <v>1901</v>
      </c>
      <c r="F47" s="9">
        <v>74139</v>
      </c>
      <c r="G47" s="9">
        <v>50824.41</v>
      </c>
      <c r="H47" s="9">
        <v>68</v>
      </c>
      <c r="I47" s="9">
        <v>56160</v>
      </c>
      <c r="J47" s="9">
        <v>849</v>
      </c>
      <c r="K47" s="9">
        <v>52560</v>
      </c>
      <c r="L47" s="9">
        <v>984</v>
      </c>
      <c r="M47" s="9">
        <v>48958.22</v>
      </c>
      <c r="N47" s="8"/>
    </row>
    <row r="48" spans="1:14">
      <c r="A48" s="1">
        <v>40</v>
      </c>
      <c r="B48" s="1">
        <v>49850</v>
      </c>
      <c r="C48" s="9">
        <v>8506</v>
      </c>
      <c r="D48" s="9">
        <v>49849.1</v>
      </c>
      <c r="E48" s="9">
        <v>1800</v>
      </c>
      <c r="F48" s="9">
        <v>72000</v>
      </c>
      <c r="G48" s="9">
        <v>51688.160000000003</v>
      </c>
      <c r="H48" s="9">
        <v>73</v>
      </c>
      <c r="I48" s="9">
        <v>56951.37</v>
      </c>
      <c r="J48" s="9">
        <v>775</v>
      </c>
      <c r="K48" s="9">
        <v>53450.36</v>
      </c>
      <c r="L48" s="9">
        <v>952</v>
      </c>
      <c r="M48" s="9">
        <v>49850</v>
      </c>
      <c r="N48" s="8"/>
    </row>
    <row r="49" spans="1:14">
      <c r="A49" s="1">
        <v>41</v>
      </c>
      <c r="B49" s="1">
        <v>51000</v>
      </c>
      <c r="C49" s="9">
        <v>8224</v>
      </c>
      <c r="D49" s="9">
        <v>50999.17</v>
      </c>
      <c r="E49" s="9">
        <v>1691</v>
      </c>
      <c r="F49" s="9">
        <v>69331</v>
      </c>
      <c r="G49" s="9">
        <v>52877.71</v>
      </c>
      <c r="H49" s="9">
        <v>72</v>
      </c>
      <c r="I49" s="9">
        <v>58200</v>
      </c>
      <c r="J49" s="9">
        <v>738</v>
      </c>
      <c r="K49" s="9">
        <v>54600</v>
      </c>
      <c r="L49" s="9">
        <v>881</v>
      </c>
      <c r="M49" s="9">
        <v>51000</v>
      </c>
      <c r="N49" s="8"/>
    </row>
    <row r="50" spans="1:14">
      <c r="A50" s="1">
        <v>42</v>
      </c>
      <c r="B50" s="1">
        <v>52170</v>
      </c>
      <c r="C50" s="9">
        <v>8090</v>
      </c>
      <c r="D50" s="9">
        <v>52168.74</v>
      </c>
      <c r="E50" s="9">
        <v>1676</v>
      </c>
      <c r="F50" s="9">
        <v>70392</v>
      </c>
      <c r="G50" s="9">
        <v>53978.59</v>
      </c>
      <c r="H50" s="9">
        <v>52</v>
      </c>
      <c r="I50" s="9">
        <v>59370</v>
      </c>
      <c r="J50" s="9">
        <v>738</v>
      </c>
      <c r="K50" s="9">
        <v>55770</v>
      </c>
      <c r="L50" s="9">
        <v>886</v>
      </c>
      <c r="M50" s="9">
        <v>52170</v>
      </c>
      <c r="N50" s="8"/>
    </row>
    <row r="51" spans="1:14">
      <c r="A51" s="1">
        <v>43</v>
      </c>
      <c r="B51" s="1">
        <v>53360</v>
      </c>
      <c r="C51" s="9">
        <v>7992</v>
      </c>
      <c r="D51" s="9">
        <v>53359.55</v>
      </c>
      <c r="E51" s="9">
        <v>1582</v>
      </c>
      <c r="F51" s="9">
        <v>68026</v>
      </c>
      <c r="G51" s="9">
        <v>55185.8</v>
      </c>
      <c r="H51" s="9">
        <v>56</v>
      </c>
      <c r="I51" s="9">
        <v>60560</v>
      </c>
      <c r="J51" s="9">
        <v>690</v>
      </c>
      <c r="K51" s="9">
        <v>56961.75</v>
      </c>
      <c r="L51" s="9">
        <v>836</v>
      </c>
      <c r="M51" s="9">
        <v>53360</v>
      </c>
      <c r="N51" s="8"/>
    </row>
    <row r="52" spans="1:14">
      <c r="A52" s="1">
        <v>44</v>
      </c>
      <c r="B52" s="1">
        <v>54570</v>
      </c>
      <c r="C52" s="9">
        <v>8352</v>
      </c>
      <c r="D52" s="9">
        <v>54569.57</v>
      </c>
      <c r="E52" s="9">
        <v>1551</v>
      </c>
      <c r="F52" s="9">
        <v>68244</v>
      </c>
      <c r="G52" s="9">
        <v>56426.879999999997</v>
      </c>
      <c r="H52" s="9">
        <v>66</v>
      </c>
      <c r="I52" s="9">
        <v>61770</v>
      </c>
      <c r="J52" s="9">
        <v>668</v>
      </c>
      <c r="K52" s="9">
        <v>58170</v>
      </c>
      <c r="L52" s="9">
        <v>817</v>
      </c>
      <c r="M52" s="9">
        <v>54570.02</v>
      </c>
      <c r="N52" s="8"/>
    </row>
    <row r="53" spans="1:14">
      <c r="A53" s="1">
        <v>45</v>
      </c>
      <c r="B53" s="1">
        <v>55800</v>
      </c>
      <c r="C53" s="9">
        <v>8660</v>
      </c>
      <c r="D53" s="9">
        <v>55799.01</v>
      </c>
      <c r="E53" s="9">
        <v>1348</v>
      </c>
      <c r="F53" s="9">
        <v>60660</v>
      </c>
      <c r="G53" s="9">
        <v>57700.57</v>
      </c>
      <c r="H53" s="9">
        <v>58</v>
      </c>
      <c r="I53" s="9">
        <v>63000</v>
      </c>
      <c r="J53" s="9">
        <v>596</v>
      </c>
      <c r="K53" s="9">
        <v>59400</v>
      </c>
      <c r="L53" s="9">
        <v>694</v>
      </c>
      <c r="M53" s="9">
        <v>55798.23</v>
      </c>
      <c r="N53" s="8"/>
    </row>
    <row r="54" spans="1:14">
      <c r="A54" s="1">
        <v>46</v>
      </c>
      <c r="B54" s="1">
        <v>57050</v>
      </c>
      <c r="C54" s="9">
        <v>8056</v>
      </c>
      <c r="D54" s="9">
        <v>57049.38</v>
      </c>
      <c r="E54" s="9">
        <v>1232</v>
      </c>
      <c r="F54" s="9">
        <v>56672</v>
      </c>
      <c r="G54" s="9">
        <v>58928.9</v>
      </c>
      <c r="H54" s="9">
        <v>47</v>
      </c>
      <c r="I54" s="9">
        <v>64250</v>
      </c>
      <c r="J54" s="9">
        <v>549</v>
      </c>
      <c r="K54" s="9">
        <v>60650</v>
      </c>
      <c r="L54" s="9">
        <v>636</v>
      </c>
      <c r="M54" s="9">
        <v>57050</v>
      </c>
      <c r="N54" s="8"/>
    </row>
    <row r="55" spans="1:14">
      <c r="A55" s="1">
        <v>47</v>
      </c>
      <c r="B55" s="1">
        <v>58320</v>
      </c>
      <c r="C55" s="9">
        <v>7049</v>
      </c>
      <c r="D55" s="9">
        <v>58319.46</v>
      </c>
      <c r="E55" s="9">
        <v>1057</v>
      </c>
      <c r="F55" s="9">
        <v>49679</v>
      </c>
      <c r="G55" s="9">
        <v>60046.77</v>
      </c>
      <c r="H55" s="9">
        <v>29</v>
      </c>
      <c r="I55" s="9">
        <v>65520</v>
      </c>
      <c r="J55" s="9">
        <v>449</v>
      </c>
      <c r="K55" s="9">
        <v>61920</v>
      </c>
      <c r="L55" s="9">
        <v>579</v>
      </c>
      <c r="M55" s="9">
        <v>58320</v>
      </c>
      <c r="N55" s="8"/>
    </row>
    <row r="56" spans="1:14">
      <c r="A56" s="1">
        <v>48</v>
      </c>
      <c r="B56" s="1">
        <v>59610</v>
      </c>
      <c r="C56" s="9">
        <v>5941</v>
      </c>
      <c r="D56" s="9">
        <v>59609.35</v>
      </c>
      <c r="E56" s="9">
        <v>840</v>
      </c>
      <c r="F56" s="9">
        <v>40320</v>
      </c>
      <c r="G56" s="9">
        <v>61447.040000000001</v>
      </c>
      <c r="H56" s="9">
        <v>36</v>
      </c>
      <c r="I56" s="9">
        <v>66810</v>
      </c>
      <c r="J56" s="9">
        <v>357</v>
      </c>
      <c r="K56" s="9">
        <v>63210</v>
      </c>
      <c r="L56" s="9">
        <v>447</v>
      </c>
      <c r="M56" s="9">
        <v>59607.11</v>
      </c>
      <c r="N56" s="8"/>
    </row>
    <row r="57" spans="1:14">
      <c r="A57" s="1">
        <v>49</v>
      </c>
      <c r="B57" s="1">
        <v>60920</v>
      </c>
      <c r="C57" s="9">
        <v>5036</v>
      </c>
      <c r="D57" s="9">
        <v>60919.24</v>
      </c>
      <c r="E57" s="9">
        <v>725</v>
      </c>
      <c r="F57" s="9">
        <v>35525</v>
      </c>
      <c r="G57" s="9">
        <v>62896.28</v>
      </c>
      <c r="H57" s="9">
        <v>27</v>
      </c>
      <c r="I57" s="9">
        <v>68120</v>
      </c>
      <c r="J57" s="9">
        <v>344</v>
      </c>
      <c r="K57" s="9">
        <v>64520</v>
      </c>
      <c r="L57" s="9">
        <v>354</v>
      </c>
      <c r="M57" s="9">
        <v>60920</v>
      </c>
      <c r="N57" s="8"/>
    </row>
    <row r="58" spans="1:14">
      <c r="A58" s="1">
        <v>50</v>
      </c>
      <c r="B58" s="1">
        <v>62250</v>
      </c>
      <c r="C58" s="9">
        <v>4260</v>
      </c>
      <c r="D58" s="9">
        <v>62250</v>
      </c>
      <c r="E58" s="9">
        <v>620</v>
      </c>
      <c r="F58" s="9">
        <v>31000</v>
      </c>
      <c r="G58" s="9">
        <v>64389.85</v>
      </c>
      <c r="H58" s="9">
        <v>26</v>
      </c>
      <c r="I58" s="9">
        <v>69450</v>
      </c>
      <c r="J58" s="9">
        <v>319</v>
      </c>
      <c r="K58" s="9">
        <v>65822.13</v>
      </c>
      <c r="L58" s="9">
        <v>275</v>
      </c>
      <c r="M58" s="9">
        <v>62250</v>
      </c>
      <c r="N58" s="8"/>
    </row>
    <row r="59" spans="1:14">
      <c r="A59" s="1">
        <v>51</v>
      </c>
      <c r="B59" s="1">
        <v>63600</v>
      </c>
      <c r="C59" s="9">
        <v>3476</v>
      </c>
      <c r="D59" s="9">
        <v>63598.85</v>
      </c>
      <c r="E59" s="9">
        <v>497</v>
      </c>
      <c r="F59" s="9">
        <v>25347</v>
      </c>
      <c r="G59" s="9">
        <v>65845.47</v>
      </c>
      <c r="H59" s="9">
        <v>23</v>
      </c>
      <c r="I59" s="9">
        <v>70800</v>
      </c>
      <c r="J59" s="9">
        <v>264</v>
      </c>
      <c r="K59" s="9">
        <v>67200</v>
      </c>
      <c r="L59" s="9">
        <v>210</v>
      </c>
      <c r="M59" s="9">
        <v>63600</v>
      </c>
      <c r="N59" s="8"/>
    </row>
    <row r="60" spans="1:14">
      <c r="A60" s="1">
        <v>52</v>
      </c>
      <c r="B60" s="1">
        <v>64970</v>
      </c>
      <c r="C60" s="9">
        <v>2919</v>
      </c>
      <c r="D60" s="9">
        <v>64969.06</v>
      </c>
      <c r="E60" s="9">
        <v>441</v>
      </c>
      <c r="F60" s="9">
        <v>22932</v>
      </c>
      <c r="G60" s="9">
        <v>67198.570000000007</v>
      </c>
      <c r="H60" s="9">
        <v>18</v>
      </c>
      <c r="I60" s="9">
        <v>72170</v>
      </c>
      <c r="J60" s="9">
        <v>237</v>
      </c>
      <c r="K60" s="9">
        <v>68570</v>
      </c>
      <c r="L60" s="9">
        <v>186</v>
      </c>
      <c r="M60" s="9">
        <v>64970</v>
      </c>
      <c r="N60" s="8"/>
    </row>
    <row r="61" spans="1:14">
      <c r="A61" s="1">
        <v>53</v>
      </c>
      <c r="B61" s="1">
        <v>66360</v>
      </c>
      <c r="C61" s="9">
        <v>2315</v>
      </c>
      <c r="D61" s="9">
        <v>66360.009999999995</v>
      </c>
      <c r="E61" s="9">
        <v>291</v>
      </c>
      <c r="F61" s="9">
        <v>15423</v>
      </c>
      <c r="G61" s="9">
        <v>68834.23</v>
      </c>
      <c r="H61" s="9">
        <v>9</v>
      </c>
      <c r="I61" s="9">
        <v>73560</v>
      </c>
      <c r="J61" s="9">
        <v>182</v>
      </c>
      <c r="K61" s="9">
        <v>69960</v>
      </c>
      <c r="L61" s="9">
        <v>100</v>
      </c>
      <c r="M61" s="9">
        <v>66360</v>
      </c>
      <c r="N61" s="8"/>
    </row>
    <row r="62" spans="1:14">
      <c r="A62" s="1">
        <v>54</v>
      </c>
      <c r="B62" s="1">
        <v>67770</v>
      </c>
      <c r="C62" s="9">
        <v>1941</v>
      </c>
      <c r="D62" s="9">
        <v>67768.55</v>
      </c>
      <c r="E62" s="9">
        <v>257</v>
      </c>
      <c r="F62" s="9">
        <v>13878</v>
      </c>
      <c r="G62" s="9">
        <v>70308.52</v>
      </c>
      <c r="H62" s="9">
        <v>15</v>
      </c>
      <c r="I62" s="9">
        <v>74970</v>
      </c>
      <c r="J62" s="9">
        <v>152</v>
      </c>
      <c r="K62" s="9">
        <v>71370</v>
      </c>
      <c r="L62" s="9">
        <v>90</v>
      </c>
      <c r="M62" s="9">
        <v>67738.89</v>
      </c>
      <c r="N62" s="8"/>
    </row>
    <row r="63" spans="1:14">
      <c r="A63" s="1">
        <v>55</v>
      </c>
      <c r="B63" s="1">
        <v>69200</v>
      </c>
      <c r="C63" s="9">
        <v>1377</v>
      </c>
      <c r="D63" s="9">
        <v>69200</v>
      </c>
      <c r="E63" s="9">
        <v>189</v>
      </c>
      <c r="F63" s="9">
        <v>10395</v>
      </c>
      <c r="G63" s="9">
        <v>72046.14</v>
      </c>
      <c r="H63" s="9">
        <v>8</v>
      </c>
      <c r="I63" s="9">
        <v>76045</v>
      </c>
      <c r="J63" s="9">
        <v>135</v>
      </c>
      <c r="K63" s="9">
        <v>72778.960000000006</v>
      </c>
      <c r="L63" s="9">
        <v>46</v>
      </c>
      <c r="M63" s="9">
        <v>69200</v>
      </c>
      <c r="N63" s="8"/>
    </row>
    <row r="64" spans="1:14">
      <c r="A64" s="1">
        <v>56</v>
      </c>
      <c r="B64" s="1">
        <v>70650</v>
      </c>
      <c r="C64" s="9">
        <v>1157</v>
      </c>
      <c r="D64" s="9">
        <v>70651.27</v>
      </c>
      <c r="E64" s="9">
        <v>166</v>
      </c>
      <c r="F64" s="9">
        <v>9296</v>
      </c>
      <c r="G64" s="9">
        <v>73729.52</v>
      </c>
      <c r="H64" s="9">
        <v>16</v>
      </c>
      <c r="I64" s="9">
        <v>77850</v>
      </c>
      <c r="J64" s="9">
        <v>110</v>
      </c>
      <c r="K64" s="9">
        <v>74250</v>
      </c>
      <c r="L64" s="9">
        <v>40</v>
      </c>
      <c r="M64" s="9">
        <v>70650</v>
      </c>
      <c r="N64" s="8"/>
    </row>
    <row r="65" spans="1:14">
      <c r="A65" s="1">
        <v>57</v>
      </c>
      <c r="B65" s="1">
        <v>72120</v>
      </c>
      <c r="C65" s="9">
        <v>997</v>
      </c>
      <c r="D65" s="9">
        <v>72120</v>
      </c>
      <c r="E65" s="9">
        <v>125</v>
      </c>
      <c r="F65" s="9">
        <v>7125</v>
      </c>
      <c r="G65" s="9">
        <v>75316.800000000003</v>
      </c>
      <c r="H65" s="9">
        <v>12</v>
      </c>
      <c r="I65" s="9">
        <v>79320</v>
      </c>
      <c r="J65" s="9">
        <v>87</v>
      </c>
      <c r="K65" s="9">
        <v>75720</v>
      </c>
      <c r="L65" s="9">
        <v>26</v>
      </c>
      <c r="M65" s="9">
        <v>72120</v>
      </c>
      <c r="N65" s="8"/>
    </row>
    <row r="66" spans="1:14">
      <c r="A66" s="1">
        <v>58</v>
      </c>
      <c r="B66" s="1">
        <v>73610</v>
      </c>
      <c r="C66" s="9">
        <v>694</v>
      </c>
      <c r="D66" s="9">
        <v>73605.710000000006</v>
      </c>
      <c r="E66" s="9">
        <v>77</v>
      </c>
      <c r="F66" s="9">
        <v>4466</v>
      </c>
      <c r="G66" s="9">
        <v>76508.7</v>
      </c>
      <c r="H66" s="9">
        <v>3</v>
      </c>
      <c r="I66" s="9">
        <v>80810</v>
      </c>
      <c r="J66" s="9">
        <v>56</v>
      </c>
      <c r="K66" s="9">
        <v>77210</v>
      </c>
      <c r="L66" s="9">
        <v>18</v>
      </c>
      <c r="M66" s="9">
        <v>73610</v>
      </c>
      <c r="N66" s="8"/>
    </row>
    <row r="67" spans="1:14">
      <c r="A67" s="1">
        <v>59</v>
      </c>
      <c r="B67" s="1">
        <v>75120</v>
      </c>
      <c r="C67" s="9">
        <v>629</v>
      </c>
      <c r="D67" s="9">
        <v>75129.95</v>
      </c>
      <c r="E67" s="9">
        <v>75</v>
      </c>
      <c r="F67" s="9">
        <v>4425</v>
      </c>
      <c r="G67" s="9">
        <v>78000</v>
      </c>
      <c r="H67" s="9">
        <v>1</v>
      </c>
      <c r="I67" s="9">
        <v>82320</v>
      </c>
      <c r="J67" s="9">
        <v>58</v>
      </c>
      <c r="K67" s="9">
        <v>78720</v>
      </c>
      <c r="L67" s="9">
        <v>16</v>
      </c>
      <c r="M67" s="9">
        <v>75120</v>
      </c>
      <c r="N67" s="8"/>
    </row>
    <row r="68" spans="1:14">
      <c r="A68" s="1">
        <v>60</v>
      </c>
      <c r="B68" s="1">
        <v>76650</v>
      </c>
      <c r="C68" s="9">
        <v>550</v>
      </c>
      <c r="D68" s="9">
        <v>76650</v>
      </c>
      <c r="E68" s="9">
        <v>68</v>
      </c>
      <c r="F68" s="9">
        <v>4080</v>
      </c>
      <c r="G68" s="9">
        <v>80038.240000000005</v>
      </c>
      <c r="H68" s="9">
        <v>1</v>
      </c>
      <c r="I68" s="9">
        <v>83850</v>
      </c>
      <c r="J68" s="9">
        <v>62</v>
      </c>
      <c r="K68" s="9">
        <v>80250</v>
      </c>
      <c r="L68" s="9">
        <v>5</v>
      </c>
      <c r="M68" s="9">
        <v>76650</v>
      </c>
      <c r="N68" s="8"/>
    </row>
    <row r="69" spans="1:14">
      <c r="A69" s="1">
        <v>61</v>
      </c>
      <c r="B69" s="1">
        <v>78200</v>
      </c>
      <c r="C69" s="9">
        <v>451</v>
      </c>
      <c r="D69" s="9">
        <v>78200</v>
      </c>
      <c r="E69" s="9">
        <v>50</v>
      </c>
      <c r="F69" s="9">
        <v>3050</v>
      </c>
      <c r="G69" s="9">
        <v>81872</v>
      </c>
      <c r="H69" s="9">
        <v>5</v>
      </c>
      <c r="I69" s="9">
        <v>85400</v>
      </c>
      <c r="J69" s="9">
        <v>41</v>
      </c>
      <c r="K69" s="9">
        <v>81800</v>
      </c>
      <c r="L69" s="9">
        <v>4</v>
      </c>
      <c r="M69" s="9">
        <v>78200</v>
      </c>
      <c r="N69" s="8"/>
    </row>
    <row r="70" spans="1:14">
      <c r="A70" s="1">
        <v>62</v>
      </c>
      <c r="B70" s="1">
        <v>79770</v>
      </c>
      <c r="C70" s="9">
        <v>368</v>
      </c>
      <c r="D70" s="9">
        <v>79770</v>
      </c>
      <c r="E70" s="9">
        <v>51</v>
      </c>
      <c r="F70" s="9">
        <v>3162</v>
      </c>
      <c r="G70" s="9">
        <v>83087.649999999994</v>
      </c>
      <c r="H70" s="9">
        <v>3</v>
      </c>
      <c r="I70" s="9">
        <v>86970</v>
      </c>
      <c r="J70" s="9">
        <v>41</v>
      </c>
      <c r="K70" s="9">
        <v>83370</v>
      </c>
      <c r="L70" s="9">
        <v>7</v>
      </c>
      <c r="M70" s="9">
        <v>79770</v>
      </c>
      <c r="N70" s="8"/>
    </row>
    <row r="71" spans="1:14">
      <c r="A71" s="1">
        <v>63</v>
      </c>
      <c r="B71" s="1">
        <v>81360</v>
      </c>
      <c r="C71" s="9">
        <v>263</v>
      </c>
      <c r="D71" s="9">
        <v>81360</v>
      </c>
      <c r="E71" s="9">
        <v>38</v>
      </c>
      <c r="F71" s="9">
        <v>2394</v>
      </c>
      <c r="G71" s="9">
        <v>84770.53</v>
      </c>
      <c r="H71" s="9">
        <v>3</v>
      </c>
      <c r="I71" s="9">
        <v>88560</v>
      </c>
      <c r="J71" s="9">
        <v>30</v>
      </c>
      <c r="K71" s="9">
        <v>84960</v>
      </c>
      <c r="L71" s="9">
        <v>5</v>
      </c>
      <c r="M71" s="9">
        <v>81360</v>
      </c>
      <c r="N71" s="8"/>
    </row>
    <row r="72" spans="1:14">
      <c r="A72" s="1">
        <v>64</v>
      </c>
      <c r="B72" s="1">
        <v>82970</v>
      </c>
      <c r="C72" s="9">
        <v>211</v>
      </c>
      <c r="D72" s="9">
        <v>82970</v>
      </c>
      <c r="E72" s="9">
        <v>24</v>
      </c>
      <c r="F72" s="9">
        <v>1536</v>
      </c>
      <c r="G72" s="9">
        <v>86720</v>
      </c>
      <c r="H72" s="9">
        <v>1</v>
      </c>
      <c r="I72" s="9">
        <v>90170</v>
      </c>
      <c r="J72" s="9">
        <v>23</v>
      </c>
      <c r="K72" s="9">
        <v>86570</v>
      </c>
      <c r="L72" s="9"/>
      <c r="M72" s="9"/>
      <c r="N72" s="8"/>
    </row>
    <row r="73" spans="1:14">
      <c r="A73" s="1">
        <v>65</v>
      </c>
      <c r="B73" s="1">
        <v>84600</v>
      </c>
      <c r="C73" s="9">
        <v>164</v>
      </c>
      <c r="D73" s="9">
        <v>84600</v>
      </c>
      <c r="E73" s="9">
        <v>24</v>
      </c>
      <c r="F73" s="9">
        <v>1560</v>
      </c>
      <c r="G73" s="9">
        <v>88500</v>
      </c>
      <c r="H73" s="9">
        <v>2</v>
      </c>
      <c r="I73" s="9">
        <v>91800</v>
      </c>
      <c r="J73" s="9">
        <v>22</v>
      </c>
      <c r="K73" s="9">
        <v>88200</v>
      </c>
      <c r="L73" s="9"/>
      <c r="M73" s="9"/>
      <c r="N73" s="8"/>
    </row>
    <row r="74" spans="1:14">
      <c r="A74" s="1">
        <v>66</v>
      </c>
      <c r="B74" s="1">
        <v>86250</v>
      </c>
      <c r="C74" s="9">
        <v>119</v>
      </c>
      <c r="D74" s="9">
        <v>86250</v>
      </c>
      <c r="E74" s="9">
        <v>15</v>
      </c>
      <c r="F74" s="9">
        <v>990</v>
      </c>
      <c r="G74" s="9">
        <v>89370</v>
      </c>
      <c r="H74" s="9">
        <v>2</v>
      </c>
      <c r="I74" s="9">
        <v>93450</v>
      </c>
      <c r="J74" s="9">
        <v>9</v>
      </c>
      <c r="K74" s="9">
        <v>89850</v>
      </c>
      <c r="L74" s="9">
        <v>4</v>
      </c>
      <c r="M74" s="9">
        <v>86250</v>
      </c>
      <c r="N74" s="8"/>
    </row>
    <row r="75" spans="1:14">
      <c r="A75" s="1">
        <v>67</v>
      </c>
      <c r="B75" s="1">
        <v>87920</v>
      </c>
      <c r="C75" s="9">
        <v>79</v>
      </c>
      <c r="D75" s="9">
        <v>87920</v>
      </c>
      <c r="E75" s="9">
        <v>9</v>
      </c>
      <c r="F75" s="9">
        <v>603</v>
      </c>
      <c r="G75" s="9">
        <v>91520</v>
      </c>
      <c r="H75" s="9"/>
      <c r="I75" s="9"/>
      <c r="J75" s="9">
        <v>9</v>
      </c>
      <c r="K75" s="9">
        <v>91520</v>
      </c>
      <c r="L75" s="9"/>
      <c r="M75" s="9"/>
      <c r="N75" s="8"/>
    </row>
    <row r="76" spans="1:14">
      <c r="A76" s="1">
        <v>68</v>
      </c>
      <c r="B76" s="1">
        <v>89610</v>
      </c>
      <c r="C76" s="9">
        <v>69</v>
      </c>
      <c r="D76" s="9">
        <v>89610</v>
      </c>
      <c r="E76" s="9">
        <v>5</v>
      </c>
      <c r="F76" s="9">
        <v>340</v>
      </c>
      <c r="G76" s="9">
        <v>93210</v>
      </c>
      <c r="H76" s="9"/>
      <c r="I76" s="9"/>
      <c r="J76" s="9">
        <v>5</v>
      </c>
      <c r="K76" s="9">
        <v>93210</v>
      </c>
      <c r="L76" s="9"/>
      <c r="M76" s="9"/>
      <c r="N76" s="8"/>
    </row>
    <row r="77" spans="1:14">
      <c r="A77" s="1">
        <v>69</v>
      </c>
      <c r="B77" s="1">
        <v>91320</v>
      </c>
      <c r="C77" s="9">
        <v>51</v>
      </c>
      <c r="D77" s="9">
        <v>91320</v>
      </c>
      <c r="E77" s="9">
        <v>4</v>
      </c>
      <c r="F77" s="9">
        <v>276</v>
      </c>
      <c r="G77" s="9">
        <v>95820</v>
      </c>
      <c r="H77" s="9">
        <v>1</v>
      </c>
      <c r="I77" s="9">
        <v>98520</v>
      </c>
      <c r="J77" s="9">
        <v>3</v>
      </c>
      <c r="K77" s="9">
        <v>94920</v>
      </c>
      <c r="L77" s="9"/>
      <c r="M77" s="9"/>
      <c r="N77" s="8"/>
    </row>
    <row r="78" spans="1:14">
      <c r="A78" s="1">
        <v>70</v>
      </c>
      <c r="B78" s="1">
        <v>93050</v>
      </c>
      <c r="C78" s="9">
        <v>44</v>
      </c>
      <c r="D78" s="9">
        <v>93050</v>
      </c>
      <c r="E78" s="9">
        <v>8</v>
      </c>
      <c r="F78" s="9">
        <v>560</v>
      </c>
      <c r="G78" s="9">
        <v>97100</v>
      </c>
      <c r="H78" s="9">
        <v>1</v>
      </c>
      <c r="I78" s="9">
        <v>100250</v>
      </c>
      <c r="J78" s="9">
        <v>7</v>
      </c>
      <c r="K78" s="9">
        <v>96650</v>
      </c>
      <c r="L78" s="9"/>
      <c r="M78" s="9"/>
      <c r="N78" s="8"/>
    </row>
    <row r="79" spans="1:14">
      <c r="A79" s="1">
        <v>71</v>
      </c>
      <c r="B79" s="1">
        <v>94800</v>
      </c>
      <c r="C79" s="9">
        <v>26</v>
      </c>
      <c r="D79" s="9">
        <v>94541.54</v>
      </c>
      <c r="E79" s="9">
        <v>3</v>
      </c>
      <c r="F79" s="9">
        <v>213</v>
      </c>
      <c r="G79" s="9">
        <v>98400</v>
      </c>
      <c r="H79" s="9"/>
      <c r="I79" s="9"/>
      <c r="J79" s="9">
        <v>3</v>
      </c>
      <c r="K79" s="9">
        <v>98400</v>
      </c>
      <c r="L79" s="9"/>
      <c r="M79" s="9"/>
      <c r="N79" s="8"/>
    </row>
    <row r="80" spans="1:14">
      <c r="A80" s="1">
        <v>72</v>
      </c>
      <c r="B80" s="1">
        <v>96570</v>
      </c>
      <c r="C80" s="9">
        <v>27</v>
      </c>
      <c r="D80" s="9">
        <v>96570</v>
      </c>
      <c r="E80" s="9">
        <v>2</v>
      </c>
      <c r="F80" s="9">
        <v>144</v>
      </c>
      <c r="G80" s="9">
        <v>101970</v>
      </c>
      <c r="H80" s="9">
        <v>1</v>
      </c>
      <c r="I80" s="9">
        <v>103770</v>
      </c>
      <c r="J80" s="9">
        <v>1</v>
      </c>
      <c r="K80" s="9">
        <v>100170</v>
      </c>
      <c r="L80" s="9"/>
      <c r="M80" s="9"/>
      <c r="N80" s="8"/>
    </row>
    <row r="81" spans="1:14">
      <c r="A81" s="1">
        <v>73</v>
      </c>
      <c r="B81" s="1">
        <v>98360</v>
      </c>
      <c r="C81" s="9">
        <v>25</v>
      </c>
      <c r="D81" s="9">
        <v>98360</v>
      </c>
      <c r="E81" s="9">
        <v>1</v>
      </c>
      <c r="F81" s="9">
        <v>73</v>
      </c>
      <c r="G81" s="9">
        <v>101960</v>
      </c>
      <c r="H81" s="9"/>
      <c r="I81" s="9"/>
      <c r="J81" s="9">
        <v>1</v>
      </c>
      <c r="K81" s="9">
        <v>101960</v>
      </c>
      <c r="L81" s="9"/>
      <c r="M81" s="9"/>
      <c r="N81" s="8"/>
    </row>
    <row r="82" spans="1:14">
      <c r="A82" s="1">
        <v>74</v>
      </c>
      <c r="B82" s="1">
        <v>100170</v>
      </c>
      <c r="C82" s="9">
        <v>12</v>
      </c>
      <c r="D82" s="9">
        <v>100170</v>
      </c>
      <c r="E82" s="9">
        <v>2</v>
      </c>
      <c r="F82" s="9">
        <v>148</v>
      </c>
      <c r="G82" s="9">
        <v>103770</v>
      </c>
      <c r="H82" s="9"/>
      <c r="I82" s="9"/>
      <c r="J82" s="9">
        <v>2</v>
      </c>
      <c r="K82" s="9">
        <v>103770</v>
      </c>
      <c r="L82" s="9"/>
      <c r="M82" s="9"/>
      <c r="N82" s="8"/>
    </row>
    <row r="83" spans="1:14">
      <c r="A83" s="1">
        <v>75</v>
      </c>
      <c r="B83" s="1">
        <v>102000</v>
      </c>
      <c r="C83" s="9">
        <v>6</v>
      </c>
      <c r="D83" s="9">
        <v>102000</v>
      </c>
      <c r="E83" s="9"/>
      <c r="F83" s="9"/>
      <c r="G83" s="9"/>
      <c r="H83" s="9"/>
      <c r="I83" s="9"/>
      <c r="J83" s="9"/>
      <c r="K83" s="9"/>
      <c r="L83" s="9"/>
      <c r="M83" s="9"/>
      <c r="N83" s="8"/>
    </row>
    <row r="84" spans="1:14">
      <c r="A84" s="1">
        <v>76</v>
      </c>
      <c r="B84" s="1">
        <v>103000</v>
      </c>
      <c r="C84" s="9">
        <v>14</v>
      </c>
      <c r="D84" s="9">
        <v>102571.43</v>
      </c>
      <c r="E84" s="9">
        <v>1</v>
      </c>
      <c r="F84" s="9">
        <v>76</v>
      </c>
      <c r="G84" s="9">
        <v>106600</v>
      </c>
      <c r="H84" s="9"/>
      <c r="I84" s="9"/>
      <c r="J84" s="9">
        <v>1</v>
      </c>
      <c r="K84" s="9">
        <v>106600</v>
      </c>
      <c r="L84" s="9"/>
      <c r="M84" s="9"/>
      <c r="N84" s="8"/>
    </row>
    <row r="85" spans="1:14">
      <c r="A85" s="1">
        <v>77</v>
      </c>
      <c r="B85" s="1">
        <v>104000</v>
      </c>
      <c r="C85" s="9">
        <v>14</v>
      </c>
      <c r="D85" s="9">
        <v>104000</v>
      </c>
      <c r="E85" s="9">
        <v>1</v>
      </c>
      <c r="F85" s="9">
        <v>77</v>
      </c>
      <c r="G85" s="9">
        <v>107600</v>
      </c>
      <c r="H85" s="9"/>
      <c r="I85" s="9"/>
      <c r="J85" s="9">
        <v>1</v>
      </c>
      <c r="K85" s="9">
        <v>107600</v>
      </c>
      <c r="L85" s="9"/>
      <c r="M85" s="9"/>
      <c r="N85" s="8"/>
    </row>
    <row r="86" spans="1:14">
      <c r="A86" s="1">
        <v>78</v>
      </c>
      <c r="B86" s="1">
        <v>105000</v>
      </c>
      <c r="C86" s="9">
        <v>13</v>
      </c>
      <c r="D86" s="9">
        <v>105000</v>
      </c>
      <c r="E86" s="9"/>
      <c r="F86" s="9"/>
      <c r="G86" s="9"/>
      <c r="H86" s="9"/>
      <c r="I86" s="9"/>
      <c r="J86" s="9"/>
      <c r="K86" s="9"/>
      <c r="L86" s="9"/>
      <c r="M86" s="9"/>
      <c r="N86" s="8"/>
    </row>
    <row r="87" spans="1:14">
      <c r="A87" s="1">
        <v>79</v>
      </c>
      <c r="B87" s="1">
        <v>106000</v>
      </c>
      <c r="C87" s="9">
        <v>12</v>
      </c>
      <c r="D87" s="9">
        <v>106000</v>
      </c>
      <c r="E87" s="9">
        <v>1</v>
      </c>
      <c r="F87" s="9">
        <v>79</v>
      </c>
      <c r="G87" s="9">
        <v>109600</v>
      </c>
      <c r="H87" s="9"/>
      <c r="I87" s="9"/>
      <c r="J87" s="9">
        <v>1</v>
      </c>
      <c r="K87" s="9">
        <v>109600</v>
      </c>
      <c r="L87" s="9"/>
      <c r="M87" s="9"/>
      <c r="N87" s="8"/>
    </row>
    <row r="88" spans="1:14">
      <c r="A88" s="1">
        <v>80</v>
      </c>
      <c r="B88" s="1">
        <v>107000</v>
      </c>
      <c r="C88" s="9">
        <v>8</v>
      </c>
      <c r="D88" s="9">
        <v>107000</v>
      </c>
      <c r="E88" s="9"/>
      <c r="F88" s="9"/>
      <c r="G88" s="9"/>
      <c r="H88" s="9"/>
      <c r="I88" s="9"/>
      <c r="J88" s="9"/>
      <c r="K88" s="9"/>
      <c r="L88" s="9"/>
      <c r="M88" s="9"/>
      <c r="N88" s="8"/>
    </row>
    <row r="89" spans="1:14">
      <c r="A89" s="1">
        <v>81</v>
      </c>
      <c r="B89" s="1">
        <v>108000</v>
      </c>
      <c r="C89" s="9">
        <v>11</v>
      </c>
      <c r="D89" s="9">
        <v>108000</v>
      </c>
      <c r="E89" s="9"/>
      <c r="F89" s="9"/>
      <c r="G89" s="9"/>
      <c r="H89" s="9"/>
      <c r="I89" s="9"/>
      <c r="J89" s="9"/>
      <c r="K89" s="9"/>
      <c r="L89" s="9"/>
      <c r="M89" s="9"/>
      <c r="N89" s="8"/>
    </row>
    <row r="90" spans="1:14">
      <c r="A90" s="1">
        <v>82</v>
      </c>
      <c r="B90" s="1">
        <v>109000</v>
      </c>
      <c r="C90" s="9">
        <v>12</v>
      </c>
      <c r="D90" s="9">
        <v>109000</v>
      </c>
      <c r="E90" s="9">
        <v>1</v>
      </c>
      <c r="F90" s="9">
        <v>82</v>
      </c>
      <c r="G90" s="9">
        <v>112600</v>
      </c>
      <c r="H90" s="9"/>
      <c r="I90" s="9"/>
      <c r="J90" s="9">
        <v>1</v>
      </c>
      <c r="K90" s="9">
        <v>112600</v>
      </c>
      <c r="L90" s="9"/>
      <c r="M90" s="9"/>
      <c r="N90" s="8"/>
    </row>
    <row r="91" spans="1:14">
      <c r="A91" s="1">
        <v>83</v>
      </c>
      <c r="B91" s="1">
        <v>110000</v>
      </c>
      <c r="C91" s="9">
        <v>10</v>
      </c>
      <c r="D91" s="9">
        <v>110000</v>
      </c>
      <c r="E91" s="9"/>
      <c r="F91" s="9"/>
      <c r="G91" s="9"/>
      <c r="H91" s="9"/>
      <c r="I91" s="9"/>
      <c r="J91" s="9"/>
      <c r="K91" s="9"/>
      <c r="L91" s="9"/>
      <c r="M91" s="9"/>
      <c r="N91" s="8"/>
    </row>
    <row r="92" spans="1:14">
      <c r="A92" s="1">
        <v>84</v>
      </c>
      <c r="B92" s="1">
        <v>111000</v>
      </c>
      <c r="C92" s="9">
        <v>7</v>
      </c>
      <c r="D92" s="9">
        <v>111000</v>
      </c>
      <c r="E92" s="9"/>
      <c r="F92" s="9"/>
      <c r="G92" s="9"/>
      <c r="H92" s="9"/>
      <c r="I92" s="9"/>
      <c r="J92" s="9"/>
      <c r="K92" s="9"/>
      <c r="L92" s="9"/>
      <c r="M92" s="9"/>
      <c r="N92" s="8"/>
    </row>
    <row r="93" spans="1:14">
      <c r="A93" s="1">
        <v>85</v>
      </c>
      <c r="B93" s="1">
        <v>112000</v>
      </c>
      <c r="C93" s="9">
        <v>8</v>
      </c>
      <c r="D93" s="9">
        <v>112000</v>
      </c>
      <c r="E93" s="9">
        <v>1</v>
      </c>
      <c r="F93" s="9">
        <v>85</v>
      </c>
      <c r="G93" s="9">
        <v>115600</v>
      </c>
      <c r="H93" s="9"/>
      <c r="I93" s="9"/>
      <c r="J93" s="9">
        <v>1</v>
      </c>
      <c r="K93" s="9">
        <v>115600</v>
      </c>
      <c r="L93" s="9"/>
      <c r="M93" s="9"/>
      <c r="N93" s="8"/>
    </row>
    <row r="94" spans="1:14">
      <c r="A94" s="1">
        <v>86</v>
      </c>
      <c r="B94" s="1">
        <v>113000</v>
      </c>
      <c r="C94" s="9">
        <v>9</v>
      </c>
      <c r="D94" s="9">
        <v>113000</v>
      </c>
      <c r="E94" s="9"/>
      <c r="F94" s="9"/>
      <c r="G94" s="9"/>
      <c r="H94" s="9"/>
      <c r="I94" s="9"/>
      <c r="J94" s="9"/>
      <c r="K94" s="9"/>
      <c r="L94" s="9"/>
      <c r="M94" s="9"/>
      <c r="N94" s="8"/>
    </row>
    <row r="95" spans="1:14">
      <c r="A95" s="1">
        <v>87</v>
      </c>
      <c r="B95" s="1">
        <v>114000</v>
      </c>
      <c r="C95" s="9">
        <v>7</v>
      </c>
      <c r="D95" s="9">
        <v>114000</v>
      </c>
      <c r="E95" s="9">
        <v>1</v>
      </c>
      <c r="F95" s="9">
        <v>87</v>
      </c>
      <c r="G95" s="9">
        <v>114000</v>
      </c>
      <c r="H95" s="9"/>
      <c r="I95" s="9"/>
      <c r="J95" s="9"/>
      <c r="K95" s="9"/>
      <c r="L95" s="9">
        <v>1</v>
      </c>
      <c r="M95" s="9">
        <v>114000</v>
      </c>
      <c r="N95" s="8"/>
    </row>
    <row r="96" spans="1:14">
      <c r="A96" s="1">
        <v>88</v>
      </c>
      <c r="B96" s="1">
        <v>115000</v>
      </c>
      <c r="C96" s="9">
        <v>5</v>
      </c>
      <c r="D96" s="9">
        <v>115000</v>
      </c>
      <c r="E96" s="9"/>
      <c r="F96" s="9"/>
      <c r="G96" s="9"/>
      <c r="H96" s="9"/>
      <c r="I96" s="9"/>
      <c r="J96" s="9"/>
      <c r="K96" s="9"/>
      <c r="L96" s="9"/>
      <c r="M96" s="9"/>
      <c r="N96" s="8"/>
    </row>
    <row r="97" spans="1:14">
      <c r="A97" s="1">
        <v>89</v>
      </c>
      <c r="B97" s="1">
        <v>116000</v>
      </c>
      <c r="C97" s="9">
        <v>6</v>
      </c>
      <c r="D97" s="9">
        <v>116000</v>
      </c>
      <c r="E97" s="9"/>
      <c r="F97" s="9"/>
      <c r="G97" s="9"/>
      <c r="H97" s="9"/>
      <c r="I97" s="9"/>
      <c r="J97" s="9"/>
      <c r="K97" s="9"/>
      <c r="L97" s="9"/>
      <c r="M97" s="9"/>
      <c r="N97" s="8"/>
    </row>
    <row r="98" spans="1:14">
      <c r="A98" s="1">
        <v>90</v>
      </c>
      <c r="B98" s="1">
        <v>117000</v>
      </c>
      <c r="C98" s="9">
        <v>7</v>
      </c>
      <c r="D98" s="9">
        <v>117000</v>
      </c>
      <c r="E98" s="9"/>
      <c r="F98" s="9"/>
      <c r="G98" s="9"/>
      <c r="H98" s="9"/>
      <c r="I98" s="9"/>
      <c r="J98" s="9"/>
      <c r="K98" s="9"/>
      <c r="L98" s="9"/>
      <c r="M98" s="9"/>
      <c r="N98" s="8"/>
    </row>
    <row r="99" spans="1:14">
      <c r="A99" s="1">
        <v>91</v>
      </c>
      <c r="B99" s="1">
        <v>118000</v>
      </c>
      <c r="C99" s="9">
        <v>11</v>
      </c>
      <c r="D99" s="9">
        <v>118000</v>
      </c>
      <c r="E99" s="9"/>
      <c r="F99" s="9"/>
      <c r="G99" s="9"/>
      <c r="H99" s="9"/>
      <c r="I99" s="9"/>
      <c r="J99" s="9"/>
      <c r="K99" s="9"/>
      <c r="L99" s="9"/>
      <c r="M99" s="9"/>
      <c r="N99" s="8"/>
    </row>
    <row r="100" spans="1:14">
      <c r="A100" s="1">
        <v>92</v>
      </c>
      <c r="B100" s="1">
        <v>119000</v>
      </c>
      <c r="C100" s="9">
        <v>8</v>
      </c>
      <c r="D100" s="9">
        <v>119000</v>
      </c>
      <c r="E100" s="9">
        <v>2</v>
      </c>
      <c r="F100" s="9">
        <v>184</v>
      </c>
      <c r="G100" s="9">
        <v>122600</v>
      </c>
      <c r="H100" s="9"/>
      <c r="I100" s="9"/>
      <c r="J100" s="9">
        <v>2</v>
      </c>
      <c r="K100" s="9">
        <v>122600</v>
      </c>
      <c r="L100" s="9"/>
      <c r="M100" s="9"/>
      <c r="N100" s="8"/>
    </row>
    <row r="101" spans="1:14">
      <c r="A101" s="1">
        <v>93</v>
      </c>
      <c r="B101" s="1">
        <v>120000</v>
      </c>
      <c r="C101" s="9">
        <v>6</v>
      </c>
      <c r="D101" s="9">
        <v>120000</v>
      </c>
      <c r="E101" s="9"/>
      <c r="F101" s="9"/>
      <c r="G101" s="9"/>
      <c r="H101" s="9"/>
      <c r="I101" s="9"/>
      <c r="J101" s="9"/>
      <c r="K101" s="9"/>
      <c r="L101" s="9"/>
      <c r="M101" s="9"/>
      <c r="N101" s="8"/>
    </row>
    <row r="102" spans="1:14">
      <c r="A102" s="1">
        <v>94</v>
      </c>
      <c r="B102" s="1">
        <v>121000</v>
      </c>
      <c r="C102" s="9">
        <v>10</v>
      </c>
      <c r="D102" s="9">
        <v>121000</v>
      </c>
      <c r="E102" s="9">
        <v>1</v>
      </c>
      <c r="F102" s="9">
        <v>94</v>
      </c>
      <c r="G102" s="9">
        <v>124600</v>
      </c>
      <c r="H102" s="9"/>
      <c r="I102" s="9"/>
      <c r="J102" s="9">
        <v>1</v>
      </c>
      <c r="K102" s="9">
        <v>124600</v>
      </c>
      <c r="L102" s="9"/>
      <c r="M102" s="9"/>
      <c r="N102" s="8"/>
    </row>
    <row r="103" spans="1:14">
      <c r="A103" s="1">
        <v>95</v>
      </c>
      <c r="B103" s="1">
        <v>122000</v>
      </c>
      <c r="C103" s="9">
        <v>3</v>
      </c>
      <c r="D103" s="9">
        <v>122000</v>
      </c>
      <c r="E103" s="9"/>
      <c r="F103" s="9"/>
      <c r="G103" s="9"/>
      <c r="H103" s="9"/>
      <c r="I103" s="9"/>
      <c r="J103" s="9"/>
      <c r="K103" s="9"/>
      <c r="L103" s="9"/>
      <c r="M103" s="9"/>
      <c r="N103" s="8"/>
    </row>
    <row r="104" spans="1:14">
      <c r="A104" s="1">
        <v>96</v>
      </c>
      <c r="B104" s="1">
        <v>123000</v>
      </c>
      <c r="C104" s="9">
        <v>4</v>
      </c>
      <c r="D104" s="9">
        <v>123000</v>
      </c>
      <c r="E104" s="9">
        <v>1</v>
      </c>
      <c r="F104" s="9">
        <v>96</v>
      </c>
      <c r="G104" s="9">
        <v>126600</v>
      </c>
      <c r="H104" s="9"/>
      <c r="I104" s="9"/>
      <c r="J104" s="9">
        <v>1</v>
      </c>
      <c r="K104" s="9">
        <v>126600</v>
      </c>
      <c r="L104" s="9"/>
      <c r="M104" s="9"/>
      <c r="N104" s="8"/>
    </row>
    <row r="105" spans="1:14">
      <c r="A105" s="1">
        <v>97</v>
      </c>
      <c r="B105" s="1">
        <v>124000</v>
      </c>
      <c r="C105" s="9">
        <v>3</v>
      </c>
      <c r="D105" s="9">
        <v>124000</v>
      </c>
      <c r="E105" s="9"/>
      <c r="F105" s="9"/>
      <c r="G105" s="9"/>
      <c r="H105" s="9"/>
      <c r="I105" s="9"/>
      <c r="J105" s="9"/>
      <c r="K105" s="9"/>
      <c r="L105" s="9"/>
      <c r="M105" s="9"/>
      <c r="N105" s="8"/>
    </row>
    <row r="106" spans="1:14">
      <c r="A106" s="1">
        <v>98</v>
      </c>
      <c r="B106" s="1">
        <v>125000</v>
      </c>
      <c r="C106" s="9">
        <v>7</v>
      </c>
      <c r="D106" s="9">
        <v>124142.86</v>
      </c>
      <c r="E106" s="9"/>
      <c r="F106" s="9"/>
      <c r="G106" s="9"/>
      <c r="H106" s="9"/>
      <c r="I106" s="9"/>
      <c r="J106" s="9"/>
      <c r="K106" s="9"/>
      <c r="L106" s="9"/>
      <c r="M106" s="9"/>
      <c r="N106" s="8"/>
    </row>
    <row r="107" spans="1:14">
      <c r="A107" s="1">
        <v>99</v>
      </c>
      <c r="B107" s="1">
        <v>126000</v>
      </c>
      <c r="C107" s="9">
        <v>8</v>
      </c>
      <c r="D107" s="9">
        <v>126000</v>
      </c>
      <c r="E107" s="9"/>
      <c r="F107" s="9"/>
      <c r="G107" s="9"/>
      <c r="H107" s="9"/>
      <c r="I107" s="9"/>
      <c r="J107" s="9"/>
      <c r="K107" s="9"/>
      <c r="L107" s="9"/>
      <c r="M107" s="9"/>
      <c r="N107" s="8"/>
    </row>
    <row r="108" spans="1:14">
      <c r="A108" s="1">
        <v>100</v>
      </c>
      <c r="B108" s="1">
        <v>127000</v>
      </c>
      <c r="C108" s="9">
        <v>9</v>
      </c>
      <c r="D108" s="9">
        <v>127000</v>
      </c>
      <c r="E108" s="9">
        <v>1</v>
      </c>
      <c r="F108" s="9">
        <v>100</v>
      </c>
      <c r="G108" s="9">
        <v>130600</v>
      </c>
      <c r="H108" s="9"/>
      <c r="I108" s="9"/>
      <c r="J108" s="9">
        <v>1</v>
      </c>
      <c r="K108" s="9">
        <v>130600</v>
      </c>
      <c r="L108" s="9"/>
      <c r="M108" s="9"/>
      <c r="N108" s="8"/>
    </row>
    <row r="109" spans="1:14">
      <c r="A109" s="1">
        <v>101</v>
      </c>
      <c r="B109" s="1">
        <v>128000</v>
      </c>
      <c r="C109" s="9">
        <v>4</v>
      </c>
      <c r="D109" s="9">
        <v>128000</v>
      </c>
      <c r="E109" s="9"/>
      <c r="F109" s="9"/>
      <c r="G109" s="9"/>
      <c r="H109" s="9"/>
      <c r="I109" s="9"/>
      <c r="J109" s="9"/>
      <c r="K109" s="9"/>
      <c r="L109" s="9"/>
      <c r="M109" s="9"/>
      <c r="N109" s="8"/>
    </row>
    <row r="110" spans="1:14">
      <c r="A110" s="12">
        <v>102</v>
      </c>
      <c r="B110" s="12">
        <v>129000</v>
      </c>
      <c r="C110" s="9">
        <v>8</v>
      </c>
      <c r="D110" s="9">
        <v>129439.5</v>
      </c>
      <c r="E110" s="9"/>
      <c r="F110" s="9"/>
      <c r="G110" s="9"/>
      <c r="H110" s="9"/>
      <c r="I110" s="9"/>
      <c r="J110" s="9"/>
      <c r="K110" s="9"/>
      <c r="L110" s="9"/>
      <c r="M110" s="9"/>
      <c r="N110" s="8"/>
    </row>
    <row r="111" spans="1:14">
      <c r="A111" s="12">
        <v>103</v>
      </c>
      <c r="B111" s="12">
        <v>130000</v>
      </c>
      <c r="C111" s="9">
        <v>6</v>
      </c>
      <c r="D111" s="9">
        <v>131311</v>
      </c>
      <c r="E111" s="9"/>
      <c r="F111" s="9"/>
      <c r="G111" s="9"/>
      <c r="H111" s="9"/>
      <c r="I111" s="9"/>
      <c r="J111" s="9"/>
      <c r="K111" s="9"/>
      <c r="L111" s="9"/>
      <c r="M111" s="9"/>
      <c r="N111" s="8"/>
    </row>
    <row r="112" spans="1:14">
      <c r="A112" s="12">
        <v>104</v>
      </c>
      <c r="B112" s="12">
        <v>131000</v>
      </c>
      <c r="C112" s="9">
        <v>4</v>
      </c>
      <c r="D112" s="9">
        <v>133744</v>
      </c>
      <c r="E112" s="9">
        <v>1</v>
      </c>
      <c r="F112" s="9">
        <v>104</v>
      </c>
      <c r="G112" s="9">
        <v>134600</v>
      </c>
      <c r="H112" s="9"/>
      <c r="I112" s="9"/>
      <c r="J112" s="9">
        <v>1</v>
      </c>
      <c r="K112" s="9">
        <v>134600</v>
      </c>
      <c r="L112" s="9"/>
      <c r="M112" s="9"/>
      <c r="N112" s="8"/>
    </row>
    <row r="113" spans="1:14">
      <c r="A113" s="12">
        <v>105</v>
      </c>
      <c r="B113" s="12">
        <v>132000</v>
      </c>
      <c r="C113" s="9">
        <v>6</v>
      </c>
      <c r="D113" s="9">
        <v>135016.67000000001</v>
      </c>
      <c r="E113" s="9">
        <v>1</v>
      </c>
      <c r="F113" s="9">
        <v>105</v>
      </c>
      <c r="G113" s="9">
        <v>141050</v>
      </c>
      <c r="H113" s="9">
        <v>1</v>
      </c>
      <c r="I113" s="9">
        <v>141050</v>
      </c>
      <c r="J113" s="9"/>
      <c r="K113" s="9"/>
      <c r="L113" s="9"/>
      <c r="M113" s="9"/>
      <c r="N113" s="8"/>
    </row>
    <row r="114" spans="1:14">
      <c r="A114" s="12">
        <v>106</v>
      </c>
      <c r="B114" s="12">
        <v>133000</v>
      </c>
      <c r="C114" s="9">
        <v>6</v>
      </c>
      <c r="D114" s="9">
        <v>137974</v>
      </c>
      <c r="E114" s="9">
        <v>1</v>
      </c>
      <c r="F114" s="9">
        <v>106</v>
      </c>
      <c r="G114" s="9">
        <v>143174</v>
      </c>
      <c r="H114" s="9">
        <v>1</v>
      </c>
      <c r="I114" s="9">
        <v>143174</v>
      </c>
      <c r="J114" s="9"/>
      <c r="K114" s="9"/>
      <c r="L114" s="9"/>
      <c r="M114" s="9"/>
      <c r="N114" s="8"/>
    </row>
    <row r="115" spans="1:14">
      <c r="A115" s="12">
        <v>107</v>
      </c>
      <c r="B115" s="12">
        <v>134000</v>
      </c>
      <c r="C115" s="9">
        <v>7</v>
      </c>
      <c r="D115" s="9">
        <v>139242.29</v>
      </c>
      <c r="E115" s="9">
        <v>1</v>
      </c>
      <c r="F115" s="9">
        <v>107</v>
      </c>
      <c r="G115" s="9">
        <v>142716</v>
      </c>
      <c r="H115" s="9"/>
      <c r="I115" s="9"/>
      <c r="J115" s="9">
        <v>1</v>
      </c>
      <c r="K115" s="9">
        <v>142716</v>
      </c>
      <c r="L115" s="9"/>
      <c r="M115" s="9"/>
      <c r="N115" s="8"/>
    </row>
    <row r="116" spans="1:14">
      <c r="A116" s="12">
        <v>108</v>
      </c>
      <c r="B116" s="12">
        <v>135000</v>
      </c>
      <c r="C116" s="9">
        <v>4</v>
      </c>
      <c r="D116" s="9">
        <v>142276</v>
      </c>
      <c r="E116" s="9">
        <v>1</v>
      </c>
      <c r="F116" s="9">
        <v>108</v>
      </c>
      <c r="G116" s="9">
        <v>144876</v>
      </c>
      <c r="H116" s="9"/>
      <c r="I116" s="9"/>
      <c r="J116" s="9">
        <v>1</v>
      </c>
      <c r="K116" s="9">
        <v>144876</v>
      </c>
      <c r="L116" s="9"/>
      <c r="M116" s="9"/>
      <c r="N116" s="8"/>
    </row>
    <row r="117" spans="1:14">
      <c r="A117" s="12">
        <v>109</v>
      </c>
      <c r="B117" s="12">
        <v>136000</v>
      </c>
      <c r="C117" s="9">
        <v>6</v>
      </c>
      <c r="D117" s="9">
        <v>144454</v>
      </c>
      <c r="E117" s="9"/>
      <c r="F117" s="9"/>
      <c r="G117" s="9"/>
      <c r="H117" s="9"/>
      <c r="I117" s="9"/>
      <c r="J117" s="9"/>
      <c r="K117" s="9"/>
      <c r="L117" s="9"/>
      <c r="M117" s="9"/>
      <c r="N117" s="8"/>
    </row>
    <row r="118" spans="1:14">
      <c r="A118" s="12">
        <v>110</v>
      </c>
      <c r="B118" s="12">
        <v>137000</v>
      </c>
      <c r="C118" s="9">
        <v>5</v>
      </c>
      <c r="D118" s="9">
        <v>146650</v>
      </c>
      <c r="E118" s="9"/>
      <c r="F118" s="9"/>
      <c r="G118" s="9"/>
      <c r="H118" s="9"/>
      <c r="I118" s="9"/>
      <c r="J118" s="9"/>
      <c r="K118" s="9"/>
      <c r="L118" s="9"/>
      <c r="M118" s="9"/>
      <c r="N118" s="8"/>
    </row>
    <row r="119" spans="1:14">
      <c r="A119" s="12">
        <v>111</v>
      </c>
      <c r="B119" s="12">
        <v>138000</v>
      </c>
      <c r="C119" s="9">
        <v>3</v>
      </c>
      <c r="D119" s="9">
        <v>148864</v>
      </c>
      <c r="E119" s="9"/>
      <c r="F119" s="9"/>
      <c r="G119" s="9"/>
      <c r="H119" s="9"/>
      <c r="I119" s="9"/>
      <c r="J119" s="9"/>
      <c r="K119" s="9"/>
      <c r="L119" s="9"/>
      <c r="M119" s="9"/>
      <c r="N119" s="8"/>
    </row>
    <row r="120" spans="1:14">
      <c r="A120" s="12">
        <v>112</v>
      </c>
      <c r="B120" s="12">
        <v>139000</v>
      </c>
      <c r="C120" s="9">
        <v>2</v>
      </c>
      <c r="D120" s="9">
        <v>144535</v>
      </c>
      <c r="E120" s="9"/>
      <c r="F120" s="9"/>
      <c r="G120" s="9"/>
      <c r="H120" s="9"/>
      <c r="I120" s="9"/>
      <c r="J120" s="9"/>
      <c r="K120" s="9"/>
      <c r="L120" s="9"/>
      <c r="M120" s="9"/>
      <c r="N120" s="8"/>
    </row>
    <row r="121" spans="1:14">
      <c r="A121" s="12">
        <v>113</v>
      </c>
      <c r="B121" s="12">
        <v>140000</v>
      </c>
      <c r="C121" s="9">
        <v>9</v>
      </c>
      <c r="D121" s="9">
        <v>151863.10999999999</v>
      </c>
      <c r="E121" s="9">
        <v>1</v>
      </c>
      <c r="F121" s="9">
        <v>113</v>
      </c>
      <c r="G121" s="9">
        <v>140000</v>
      </c>
      <c r="H121" s="9"/>
      <c r="I121" s="9"/>
      <c r="J121" s="9"/>
      <c r="K121" s="9"/>
      <c r="L121" s="9">
        <v>1</v>
      </c>
      <c r="M121" s="9">
        <v>140000</v>
      </c>
      <c r="N121" s="8"/>
    </row>
    <row r="122" spans="1:14">
      <c r="A122" s="12">
        <v>114</v>
      </c>
      <c r="B122" s="12">
        <v>141000</v>
      </c>
      <c r="C122" s="9">
        <v>3</v>
      </c>
      <c r="D122" s="9">
        <v>155614</v>
      </c>
      <c r="E122" s="9">
        <v>2</v>
      </c>
      <c r="F122" s="9">
        <v>228</v>
      </c>
      <c r="G122" s="9">
        <v>151407</v>
      </c>
      <c r="H122" s="9"/>
      <c r="I122" s="9"/>
      <c r="J122" s="9">
        <v>2</v>
      </c>
      <c r="K122" s="9">
        <v>151407</v>
      </c>
      <c r="L122" s="9"/>
      <c r="M122" s="9"/>
      <c r="N122" s="8"/>
    </row>
    <row r="123" spans="1:14">
      <c r="A123" s="12">
        <v>115</v>
      </c>
      <c r="B123" s="12">
        <v>142000</v>
      </c>
      <c r="C123" s="9">
        <v>7</v>
      </c>
      <c r="D123" s="9">
        <v>155628.57</v>
      </c>
      <c r="E123" s="9"/>
      <c r="F123" s="9"/>
      <c r="G123" s="9"/>
      <c r="H123" s="9"/>
      <c r="I123" s="9"/>
      <c r="J123" s="9"/>
      <c r="K123" s="9"/>
      <c r="L123" s="9"/>
      <c r="M123" s="9"/>
      <c r="N123" s="8"/>
    </row>
    <row r="124" spans="1:14">
      <c r="A124" s="12">
        <v>116</v>
      </c>
      <c r="B124" s="12">
        <v>143000</v>
      </c>
      <c r="C124" s="9">
        <v>5</v>
      </c>
      <c r="D124" s="9">
        <v>157936</v>
      </c>
      <c r="E124" s="9"/>
      <c r="F124" s="9"/>
      <c r="G124" s="9"/>
      <c r="H124" s="9"/>
      <c r="I124" s="9"/>
      <c r="J124" s="9"/>
      <c r="K124" s="9"/>
      <c r="L124" s="9"/>
      <c r="M124" s="9"/>
      <c r="N124" s="8"/>
    </row>
    <row r="125" spans="1:14">
      <c r="A125" s="12">
        <v>117</v>
      </c>
      <c r="B125" s="12">
        <v>144000</v>
      </c>
      <c r="C125" s="9">
        <v>4</v>
      </c>
      <c r="D125" s="9">
        <v>157314</v>
      </c>
      <c r="E125" s="9">
        <v>1</v>
      </c>
      <c r="F125" s="9">
        <v>117</v>
      </c>
      <c r="G125" s="9">
        <v>162526</v>
      </c>
      <c r="H125" s="9"/>
      <c r="I125" s="9"/>
      <c r="J125" s="9"/>
      <c r="K125" s="9"/>
      <c r="L125" s="9">
        <v>1</v>
      </c>
      <c r="M125" s="9">
        <v>162526</v>
      </c>
      <c r="N125" s="8"/>
    </row>
    <row r="126" spans="1:14">
      <c r="A126" s="12">
        <v>118</v>
      </c>
      <c r="B126" s="12">
        <v>145000</v>
      </c>
      <c r="C126" s="9">
        <v>7</v>
      </c>
      <c r="D126" s="9">
        <v>162028</v>
      </c>
      <c r="E126" s="9"/>
      <c r="F126" s="9"/>
      <c r="G126" s="9"/>
      <c r="H126" s="9"/>
      <c r="I126" s="9"/>
      <c r="J126" s="9"/>
      <c r="K126" s="9"/>
      <c r="L126" s="9"/>
      <c r="M126" s="9"/>
      <c r="N126" s="8"/>
    </row>
    <row r="127" spans="1:14">
      <c r="A127" s="12">
        <v>119</v>
      </c>
      <c r="B127" s="12">
        <v>146000</v>
      </c>
      <c r="C127" s="9">
        <v>8</v>
      </c>
      <c r="D127" s="9">
        <v>166051.75</v>
      </c>
      <c r="E127" s="9"/>
      <c r="F127" s="9"/>
      <c r="G127" s="9"/>
      <c r="H127" s="9"/>
      <c r="I127" s="9"/>
      <c r="J127" s="9"/>
      <c r="K127" s="9"/>
      <c r="L127" s="9"/>
      <c r="M127" s="9"/>
      <c r="N127" s="8"/>
    </row>
    <row r="128" spans="1:14">
      <c r="A128" s="12">
        <v>120</v>
      </c>
      <c r="B128" s="12">
        <v>147000</v>
      </c>
      <c r="C128" s="9">
        <v>4</v>
      </c>
      <c r="D128" s="9">
        <v>169600</v>
      </c>
      <c r="E128" s="9"/>
      <c r="F128" s="9"/>
      <c r="G128" s="9"/>
      <c r="H128" s="9"/>
      <c r="I128" s="9"/>
      <c r="J128" s="9"/>
      <c r="K128" s="9"/>
      <c r="L128" s="9"/>
      <c r="M128" s="9"/>
      <c r="N128" s="8"/>
    </row>
    <row r="129" spans="1:14">
      <c r="A129" s="12">
        <v>121</v>
      </c>
      <c r="B129" s="12">
        <v>148000</v>
      </c>
      <c r="C129" s="9">
        <v>5</v>
      </c>
      <c r="D129" s="9">
        <v>171994</v>
      </c>
      <c r="E129" s="9"/>
      <c r="F129" s="9"/>
      <c r="G129" s="9"/>
      <c r="H129" s="9"/>
      <c r="I129" s="9"/>
      <c r="J129" s="9"/>
      <c r="K129" s="9"/>
      <c r="L129" s="9"/>
      <c r="M129" s="9"/>
      <c r="N129" s="8"/>
    </row>
    <row r="130" spans="1:14">
      <c r="A130" s="12">
        <v>122</v>
      </c>
      <c r="B130" s="12">
        <v>149000</v>
      </c>
      <c r="C130" s="9">
        <v>4</v>
      </c>
      <c r="D130" s="9">
        <v>174406</v>
      </c>
      <c r="E130" s="9"/>
      <c r="F130" s="9"/>
      <c r="G130" s="9"/>
      <c r="H130" s="9"/>
      <c r="I130" s="9"/>
      <c r="J130" s="9"/>
      <c r="K130" s="9"/>
      <c r="L130" s="9"/>
      <c r="M130" s="9"/>
      <c r="N130" s="8"/>
    </row>
    <row r="131" spans="1:14">
      <c r="A131" s="12">
        <v>123</v>
      </c>
      <c r="B131" s="12">
        <v>150000</v>
      </c>
      <c r="C131" s="9">
        <v>4</v>
      </c>
      <c r="D131" s="9">
        <v>176228.5</v>
      </c>
      <c r="E131" s="9">
        <v>1</v>
      </c>
      <c r="F131" s="9">
        <v>123</v>
      </c>
      <c r="G131" s="9">
        <v>179436</v>
      </c>
      <c r="H131" s="9"/>
      <c r="I131" s="9"/>
      <c r="J131" s="9">
        <v>1</v>
      </c>
      <c r="K131" s="9">
        <v>179436</v>
      </c>
      <c r="L131" s="9"/>
      <c r="M131" s="9"/>
      <c r="N131" s="8"/>
    </row>
    <row r="132" spans="1:14">
      <c r="A132" s="12">
        <v>124</v>
      </c>
      <c r="B132" s="12">
        <v>151000</v>
      </c>
      <c r="C132" s="9">
        <v>1</v>
      </c>
      <c r="D132" s="9">
        <v>179284</v>
      </c>
      <c r="E132" s="9"/>
      <c r="F132" s="9"/>
      <c r="G132" s="9"/>
      <c r="H132" s="9"/>
      <c r="I132" s="9"/>
      <c r="J132" s="9"/>
      <c r="K132" s="9"/>
      <c r="L132" s="9"/>
      <c r="M132" s="9"/>
      <c r="N132" s="8"/>
    </row>
    <row r="133" spans="1:14">
      <c r="A133" s="12">
        <v>125</v>
      </c>
      <c r="B133" s="12">
        <v>152000</v>
      </c>
      <c r="C133" s="9">
        <v>4</v>
      </c>
      <c r="D133" s="9">
        <v>176363.5</v>
      </c>
      <c r="E133" s="9">
        <v>1</v>
      </c>
      <c r="F133" s="9">
        <v>125</v>
      </c>
      <c r="G133" s="9">
        <v>184350</v>
      </c>
      <c r="H133" s="9"/>
      <c r="I133" s="9"/>
      <c r="J133" s="9">
        <v>1</v>
      </c>
      <c r="K133" s="9">
        <v>184350</v>
      </c>
      <c r="L133" s="9"/>
      <c r="M133" s="9"/>
      <c r="N133" s="8"/>
    </row>
    <row r="134" spans="1:14">
      <c r="A134" s="12">
        <v>126</v>
      </c>
      <c r="B134" s="12">
        <v>153000</v>
      </c>
      <c r="C134" s="9">
        <v>2</v>
      </c>
      <c r="D134" s="9">
        <v>168617</v>
      </c>
      <c r="E134" s="9"/>
      <c r="F134" s="9"/>
      <c r="G134" s="9"/>
      <c r="H134" s="9"/>
      <c r="I134" s="9"/>
      <c r="J134" s="9"/>
      <c r="K134" s="9"/>
      <c r="L134" s="9"/>
      <c r="M134" s="9"/>
      <c r="N134" s="8"/>
    </row>
    <row r="135" spans="1:14">
      <c r="A135" s="12">
        <v>127</v>
      </c>
      <c r="B135" s="12">
        <v>154000</v>
      </c>
      <c r="C135" s="9">
        <v>8</v>
      </c>
      <c r="D135" s="9">
        <v>186736</v>
      </c>
      <c r="E135" s="9"/>
      <c r="F135" s="9"/>
      <c r="G135" s="9"/>
      <c r="H135" s="9"/>
      <c r="I135" s="9"/>
      <c r="J135" s="9"/>
      <c r="K135" s="9"/>
      <c r="L135" s="9"/>
      <c r="M135" s="9"/>
      <c r="N135" s="8"/>
    </row>
    <row r="136" spans="1:14">
      <c r="A136" s="12">
        <v>128</v>
      </c>
      <c r="B136" s="12">
        <v>155000</v>
      </c>
      <c r="C136" s="9">
        <v>3</v>
      </c>
      <c r="D136" s="9">
        <v>189256</v>
      </c>
      <c r="E136" s="9">
        <v>1</v>
      </c>
      <c r="F136" s="9">
        <v>128</v>
      </c>
      <c r="G136" s="9">
        <v>191856</v>
      </c>
      <c r="H136" s="9">
        <v>1</v>
      </c>
      <c r="I136" s="9">
        <v>191856</v>
      </c>
      <c r="J136" s="9"/>
      <c r="K136" s="9"/>
      <c r="L136" s="9"/>
      <c r="M136" s="9"/>
      <c r="N136" s="8"/>
    </row>
    <row r="137" spans="1:14">
      <c r="A137" s="12">
        <v>129</v>
      </c>
      <c r="B137" s="12">
        <v>156000</v>
      </c>
      <c r="C137" s="9">
        <v>2</v>
      </c>
      <c r="D137" s="9">
        <v>191794</v>
      </c>
      <c r="E137" s="9"/>
      <c r="F137" s="9"/>
      <c r="G137" s="9"/>
      <c r="H137" s="9"/>
      <c r="I137" s="9"/>
      <c r="J137" s="9"/>
      <c r="K137" s="9"/>
      <c r="L137" s="9"/>
      <c r="M137" s="9"/>
      <c r="N137" s="8"/>
    </row>
    <row r="138" spans="1:14">
      <c r="A138" s="12">
        <v>130</v>
      </c>
      <c r="B138" s="12">
        <v>157000</v>
      </c>
      <c r="C138" s="9">
        <v>4</v>
      </c>
      <c r="D138" s="9">
        <v>193711</v>
      </c>
      <c r="E138" s="9"/>
      <c r="F138" s="9"/>
      <c r="G138" s="9"/>
      <c r="H138" s="9"/>
      <c r="I138" s="9"/>
      <c r="J138" s="9"/>
      <c r="K138" s="9"/>
      <c r="L138" s="9"/>
      <c r="M138" s="9"/>
      <c r="N138" s="8"/>
    </row>
    <row r="139" spans="1:14">
      <c r="A139" s="12">
        <v>131</v>
      </c>
      <c r="B139" s="12">
        <v>158000</v>
      </c>
      <c r="C139" s="9">
        <v>5</v>
      </c>
      <c r="D139" s="9">
        <v>192420.4</v>
      </c>
      <c r="E139" s="9"/>
      <c r="F139" s="9"/>
      <c r="G139" s="9"/>
      <c r="H139" s="9"/>
      <c r="I139" s="9"/>
      <c r="J139" s="9"/>
      <c r="K139" s="9"/>
      <c r="L139" s="9"/>
      <c r="M139" s="9"/>
      <c r="N139" s="8"/>
    </row>
    <row r="140" spans="1:14">
      <c r="A140" s="12">
        <v>132</v>
      </c>
      <c r="B140" s="12">
        <v>159000</v>
      </c>
      <c r="C140" s="9">
        <v>2</v>
      </c>
      <c r="D140" s="9">
        <v>199516</v>
      </c>
      <c r="E140" s="9"/>
      <c r="F140" s="9"/>
      <c r="G140" s="9"/>
      <c r="H140" s="9"/>
      <c r="I140" s="9"/>
      <c r="J140" s="9"/>
      <c r="K140" s="9"/>
      <c r="L140" s="9"/>
      <c r="M140" s="9"/>
      <c r="N140" s="8"/>
    </row>
    <row r="141" spans="1:14">
      <c r="A141" s="12">
        <v>133</v>
      </c>
      <c r="B141" s="12">
        <v>160000</v>
      </c>
      <c r="C141" s="9">
        <v>2</v>
      </c>
      <c r="D141" s="9">
        <v>202126</v>
      </c>
      <c r="E141" s="9"/>
      <c r="F141" s="9"/>
      <c r="G141" s="9"/>
      <c r="H141" s="9"/>
      <c r="I141" s="9"/>
      <c r="J141" s="9"/>
      <c r="K141" s="9"/>
      <c r="L141" s="9"/>
      <c r="M141" s="9"/>
      <c r="N141" s="8"/>
    </row>
    <row r="142" spans="1:14">
      <c r="A142" s="12">
        <v>134</v>
      </c>
      <c r="B142" s="12">
        <v>161000</v>
      </c>
      <c r="C142" s="9">
        <v>3</v>
      </c>
      <c r="D142" s="9">
        <v>204754</v>
      </c>
      <c r="E142" s="9"/>
      <c r="F142" s="9"/>
      <c r="G142" s="9"/>
      <c r="H142" s="9"/>
      <c r="I142" s="9"/>
      <c r="J142" s="9"/>
      <c r="K142" s="9"/>
      <c r="L142" s="9"/>
      <c r="M142" s="9"/>
      <c r="N142" s="8"/>
    </row>
    <row r="143" spans="1:14">
      <c r="A143" s="12">
        <v>135</v>
      </c>
      <c r="B143" s="12">
        <v>162000</v>
      </c>
      <c r="C143" s="9">
        <v>3</v>
      </c>
      <c r="D143" s="9">
        <v>207400</v>
      </c>
      <c r="E143" s="9"/>
      <c r="F143" s="9"/>
      <c r="G143" s="9"/>
      <c r="H143" s="9"/>
      <c r="I143" s="9"/>
      <c r="J143" s="9"/>
      <c r="K143" s="9"/>
      <c r="L143" s="9"/>
      <c r="M143" s="9"/>
      <c r="N143" s="8"/>
    </row>
    <row r="144" spans="1:14">
      <c r="A144" s="12">
        <v>137</v>
      </c>
      <c r="B144" s="12">
        <v>164000</v>
      </c>
      <c r="C144" s="9">
        <v>3</v>
      </c>
      <c r="D144" s="9">
        <v>212746</v>
      </c>
      <c r="E144" s="9"/>
      <c r="F144" s="9"/>
      <c r="G144" s="9"/>
      <c r="H144" s="9"/>
      <c r="I144" s="9"/>
      <c r="J144" s="9"/>
      <c r="K144" s="9"/>
      <c r="L144" s="9"/>
      <c r="M144" s="9"/>
      <c r="N144" s="8"/>
    </row>
    <row r="145" spans="1:14">
      <c r="A145" s="12">
        <v>138</v>
      </c>
      <c r="B145" s="12">
        <v>165000</v>
      </c>
      <c r="C145" s="9">
        <v>2</v>
      </c>
      <c r="D145" s="9">
        <v>215446</v>
      </c>
      <c r="E145" s="9"/>
      <c r="F145" s="9"/>
      <c r="G145" s="9"/>
      <c r="H145" s="9"/>
      <c r="I145" s="9"/>
      <c r="J145" s="9"/>
      <c r="K145" s="9"/>
      <c r="L145" s="9"/>
      <c r="M145" s="9"/>
      <c r="N145" s="8"/>
    </row>
    <row r="146" spans="1:14">
      <c r="A146" s="12">
        <v>139</v>
      </c>
      <c r="B146" s="12">
        <v>166000</v>
      </c>
      <c r="C146" s="9">
        <v>3</v>
      </c>
      <c r="D146" s="9">
        <v>218164</v>
      </c>
      <c r="E146" s="9"/>
      <c r="F146" s="9"/>
      <c r="G146" s="9"/>
      <c r="H146" s="9"/>
      <c r="I146" s="9"/>
      <c r="J146" s="9"/>
      <c r="K146" s="9"/>
      <c r="L146" s="9"/>
      <c r="M146" s="9"/>
      <c r="N146" s="8"/>
    </row>
    <row r="147" spans="1:14">
      <c r="A147" s="12">
        <v>140</v>
      </c>
      <c r="B147" s="12">
        <v>167000</v>
      </c>
      <c r="C147" s="9">
        <v>1</v>
      </c>
      <c r="D147" s="9">
        <v>220900</v>
      </c>
      <c r="E147" s="9">
        <v>1</v>
      </c>
      <c r="F147" s="9">
        <v>140</v>
      </c>
      <c r="G147" s="9">
        <v>220764</v>
      </c>
      <c r="H147" s="9"/>
      <c r="I147" s="9"/>
      <c r="J147" s="9">
        <v>1</v>
      </c>
      <c r="K147" s="9">
        <v>220764</v>
      </c>
      <c r="L147" s="9"/>
      <c r="M147" s="9"/>
      <c r="N147" s="8"/>
    </row>
    <row r="148" spans="1:14">
      <c r="A148" s="12">
        <v>141</v>
      </c>
      <c r="B148" s="12">
        <v>168000</v>
      </c>
      <c r="C148" s="9">
        <v>4</v>
      </c>
      <c r="D148" s="9">
        <v>215054.5</v>
      </c>
      <c r="E148" s="9"/>
      <c r="F148" s="9"/>
      <c r="G148" s="9"/>
      <c r="H148" s="9"/>
      <c r="I148" s="9"/>
      <c r="J148" s="9"/>
      <c r="K148" s="9"/>
      <c r="L148" s="9"/>
      <c r="M148" s="9"/>
      <c r="N148" s="8"/>
    </row>
    <row r="149" spans="1:14">
      <c r="A149" s="12">
        <v>142</v>
      </c>
      <c r="B149" s="12">
        <v>169000</v>
      </c>
      <c r="C149" s="9">
        <v>2</v>
      </c>
      <c r="D149" s="9">
        <v>226426</v>
      </c>
      <c r="E149" s="9"/>
      <c r="F149" s="9"/>
      <c r="G149" s="9"/>
      <c r="H149" s="9"/>
      <c r="I149" s="9"/>
      <c r="J149" s="9"/>
      <c r="K149" s="9"/>
      <c r="L149" s="9"/>
      <c r="M149" s="9"/>
      <c r="N149" s="8"/>
    </row>
    <row r="150" spans="1:14">
      <c r="A150" s="12">
        <v>143</v>
      </c>
      <c r="B150" s="12">
        <v>170000</v>
      </c>
      <c r="C150" s="9">
        <v>1</v>
      </c>
      <c r="D150" s="9">
        <v>229216</v>
      </c>
      <c r="E150" s="9"/>
      <c r="F150" s="9"/>
      <c r="G150" s="9"/>
      <c r="H150" s="9"/>
      <c r="I150" s="9"/>
      <c r="J150" s="9"/>
      <c r="K150" s="9"/>
      <c r="L150" s="9"/>
      <c r="M150" s="9"/>
      <c r="N150" s="8"/>
    </row>
    <row r="151" spans="1:14">
      <c r="A151" s="12">
        <v>144</v>
      </c>
      <c r="B151" s="12">
        <v>171000</v>
      </c>
      <c r="C151" s="9">
        <v>2</v>
      </c>
      <c r="D151" s="9">
        <v>232024</v>
      </c>
      <c r="E151" s="9"/>
      <c r="F151" s="9"/>
      <c r="G151" s="9"/>
      <c r="H151" s="9"/>
      <c r="I151" s="9"/>
      <c r="J151" s="9"/>
      <c r="K151" s="9"/>
      <c r="L151" s="9"/>
      <c r="M151" s="9"/>
      <c r="N151" s="8"/>
    </row>
    <row r="152" spans="1:14">
      <c r="A152" s="12">
        <v>145</v>
      </c>
      <c r="B152" s="12">
        <v>172000</v>
      </c>
      <c r="C152" s="9">
        <v>1</v>
      </c>
      <c r="D152" s="9">
        <v>234850</v>
      </c>
      <c r="E152" s="9"/>
      <c r="F152" s="9"/>
      <c r="G152" s="9"/>
      <c r="H152" s="9"/>
      <c r="I152" s="9"/>
      <c r="J152" s="9"/>
      <c r="K152" s="9"/>
      <c r="L152" s="9"/>
      <c r="M152" s="9"/>
      <c r="N152" s="8"/>
    </row>
    <row r="153" spans="1:14">
      <c r="A153" s="12">
        <v>146</v>
      </c>
      <c r="B153" s="12">
        <v>173000</v>
      </c>
      <c r="C153" s="9">
        <v>3</v>
      </c>
      <c r="D153" s="9">
        <v>237694</v>
      </c>
      <c r="E153" s="9"/>
      <c r="F153" s="9"/>
      <c r="G153" s="9"/>
      <c r="H153" s="9"/>
      <c r="I153" s="9"/>
      <c r="J153" s="9"/>
      <c r="K153" s="9"/>
      <c r="L153" s="9"/>
      <c r="M153" s="9"/>
      <c r="N153" s="8"/>
    </row>
    <row r="154" spans="1:14">
      <c r="A154" s="12">
        <v>147</v>
      </c>
      <c r="B154" s="12">
        <v>174000</v>
      </c>
      <c r="C154" s="9">
        <v>1</v>
      </c>
      <c r="D154" s="9">
        <v>240556</v>
      </c>
      <c r="E154" s="9"/>
      <c r="F154" s="9"/>
      <c r="G154" s="9"/>
      <c r="H154" s="9"/>
      <c r="I154" s="9"/>
      <c r="J154" s="9"/>
      <c r="K154" s="9"/>
      <c r="L154" s="9"/>
      <c r="M154" s="9"/>
      <c r="N154" s="8"/>
    </row>
    <row r="155" spans="1:14">
      <c r="A155" s="12">
        <v>148</v>
      </c>
      <c r="B155" s="12">
        <v>175000</v>
      </c>
      <c r="C155" s="9">
        <v>1</v>
      </c>
      <c r="D155" s="9">
        <v>243436</v>
      </c>
      <c r="E155" s="9"/>
      <c r="F155" s="9"/>
      <c r="G155" s="9"/>
      <c r="H155" s="9"/>
      <c r="I155" s="9"/>
      <c r="J155" s="9"/>
      <c r="K155" s="9"/>
      <c r="L155" s="9"/>
      <c r="M155" s="9"/>
      <c r="N155" s="8"/>
    </row>
    <row r="156" spans="1:14">
      <c r="A156" s="12">
        <v>150</v>
      </c>
      <c r="B156" s="12">
        <v>177000</v>
      </c>
      <c r="C156" s="9">
        <v>4</v>
      </c>
      <c r="D156" s="9">
        <v>249250</v>
      </c>
      <c r="E156" s="9"/>
      <c r="F156" s="9"/>
      <c r="G156" s="9"/>
      <c r="H156" s="9"/>
      <c r="I156" s="9"/>
      <c r="J156" s="9"/>
      <c r="K156" s="9"/>
      <c r="L156" s="9"/>
      <c r="M156" s="9"/>
      <c r="N156" s="8"/>
    </row>
    <row r="157" spans="1:14">
      <c r="A157" s="12">
        <v>151</v>
      </c>
      <c r="B157" s="12">
        <v>178000</v>
      </c>
      <c r="C157" s="9"/>
      <c r="D157" s="9"/>
      <c r="E157" s="9"/>
      <c r="F157" s="9"/>
      <c r="G157" s="9"/>
      <c r="H157" s="9"/>
      <c r="I157" s="9"/>
      <c r="J157" s="9"/>
      <c r="K157" s="9"/>
      <c r="L157" s="9"/>
      <c r="M157" s="9"/>
      <c r="N157" s="8"/>
    </row>
    <row r="158" spans="1:14">
      <c r="A158" s="12">
        <v>152</v>
      </c>
      <c r="B158" s="12">
        <v>179000</v>
      </c>
      <c r="C158" s="9">
        <v>3</v>
      </c>
      <c r="D158" s="9">
        <v>255136</v>
      </c>
      <c r="E158" s="9"/>
      <c r="F158" s="9"/>
      <c r="G158" s="9"/>
      <c r="H158" s="9"/>
      <c r="I158" s="9"/>
      <c r="J158" s="9"/>
      <c r="K158" s="9"/>
      <c r="L158" s="9"/>
      <c r="M158" s="9"/>
      <c r="N158" s="8"/>
    </row>
    <row r="159" spans="1:14">
      <c r="A159" s="12">
        <v>153</v>
      </c>
      <c r="B159" s="12">
        <v>180000</v>
      </c>
      <c r="C159" s="9">
        <v>3</v>
      </c>
      <c r="D159" s="9">
        <v>258106</v>
      </c>
      <c r="E159" s="9"/>
      <c r="F159" s="9"/>
      <c r="G159" s="9"/>
      <c r="H159" s="9"/>
      <c r="I159" s="9"/>
      <c r="J159" s="9"/>
      <c r="K159" s="9"/>
      <c r="L159" s="9"/>
      <c r="M159" s="9"/>
      <c r="N159" s="8"/>
    </row>
    <row r="160" spans="1:14">
      <c r="A160" s="12">
        <v>155</v>
      </c>
      <c r="B160" s="12">
        <v>182000</v>
      </c>
      <c r="C160" s="9">
        <v>3</v>
      </c>
      <c r="D160" s="9">
        <v>264100</v>
      </c>
      <c r="E160" s="9">
        <v>1</v>
      </c>
      <c r="F160" s="9">
        <v>155</v>
      </c>
      <c r="G160" s="9">
        <v>266700</v>
      </c>
      <c r="H160" s="9"/>
      <c r="I160" s="9"/>
      <c r="J160" s="9">
        <v>1</v>
      </c>
      <c r="K160" s="9">
        <v>266700</v>
      </c>
      <c r="L160" s="9"/>
      <c r="M160" s="9"/>
      <c r="N160" s="8"/>
    </row>
    <row r="161" spans="1:14">
      <c r="A161" s="12">
        <v>156</v>
      </c>
      <c r="B161" s="12">
        <v>183000</v>
      </c>
      <c r="C161" s="9">
        <v>1</v>
      </c>
      <c r="D161" s="9">
        <v>267124</v>
      </c>
      <c r="E161" s="9"/>
      <c r="F161" s="9"/>
      <c r="G161" s="9"/>
      <c r="H161" s="9"/>
      <c r="I161" s="9"/>
      <c r="J161" s="9"/>
      <c r="K161" s="9"/>
      <c r="L161" s="9"/>
      <c r="M161" s="9"/>
      <c r="N161" s="8"/>
    </row>
    <row r="162" spans="1:14">
      <c r="A162" s="12">
        <v>157</v>
      </c>
      <c r="B162" s="12">
        <v>184000</v>
      </c>
      <c r="C162" s="9">
        <v>1</v>
      </c>
      <c r="D162" s="9">
        <v>270166</v>
      </c>
      <c r="E162" s="9"/>
      <c r="F162" s="9"/>
      <c r="G162" s="9"/>
      <c r="H162" s="9"/>
      <c r="I162" s="9"/>
      <c r="J162" s="9"/>
      <c r="K162" s="9"/>
      <c r="L162" s="9"/>
      <c r="M162" s="9"/>
      <c r="N162" s="8"/>
    </row>
    <row r="163" spans="1:14">
      <c r="A163" s="12">
        <v>158</v>
      </c>
      <c r="B163" s="12">
        <v>185000</v>
      </c>
      <c r="C163" s="9">
        <v>2</v>
      </c>
      <c r="D163" s="9">
        <v>273226</v>
      </c>
      <c r="E163" s="9"/>
      <c r="F163" s="9"/>
      <c r="G163" s="9"/>
      <c r="H163" s="9"/>
      <c r="I163" s="9"/>
      <c r="J163" s="9"/>
      <c r="K163" s="9"/>
      <c r="L163" s="9"/>
      <c r="M163" s="9"/>
      <c r="N163" s="8"/>
    </row>
    <row r="164" spans="1:14">
      <c r="A164" s="12">
        <v>159</v>
      </c>
      <c r="B164" s="12">
        <v>186000</v>
      </c>
      <c r="C164" s="9">
        <v>1</v>
      </c>
      <c r="D164" s="9">
        <v>276304</v>
      </c>
      <c r="E164" s="9"/>
      <c r="F164" s="9"/>
      <c r="G164" s="9"/>
      <c r="H164" s="9"/>
      <c r="I164" s="9"/>
      <c r="J164" s="9"/>
      <c r="K164" s="9"/>
      <c r="L164" s="9"/>
      <c r="M164" s="9"/>
      <c r="N164" s="8"/>
    </row>
    <row r="165" spans="1:14">
      <c r="A165" s="12">
        <v>160</v>
      </c>
      <c r="B165" s="12">
        <v>187000</v>
      </c>
      <c r="C165" s="9">
        <v>1</v>
      </c>
      <c r="D165" s="9">
        <v>279400</v>
      </c>
      <c r="E165" s="9"/>
      <c r="F165" s="9"/>
      <c r="G165" s="9"/>
      <c r="H165" s="9"/>
      <c r="I165" s="9"/>
      <c r="J165" s="9"/>
      <c r="K165" s="9"/>
      <c r="L165" s="9"/>
      <c r="M165" s="9"/>
      <c r="N165" s="8"/>
    </row>
    <row r="166" spans="1:14">
      <c r="A166" s="12">
        <v>167</v>
      </c>
      <c r="B166" s="12">
        <v>194000</v>
      </c>
      <c r="C166" s="9">
        <v>2</v>
      </c>
      <c r="D166" s="9">
        <v>301576</v>
      </c>
      <c r="E166" s="9"/>
      <c r="F166" s="9"/>
      <c r="G166" s="9"/>
      <c r="H166" s="9"/>
      <c r="I166" s="9"/>
      <c r="J166" s="9"/>
      <c r="K166" s="9"/>
      <c r="L166" s="9"/>
      <c r="M166" s="9"/>
      <c r="N166" s="8"/>
    </row>
    <row r="167" spans="1:14">
      <c r="A167" s="12">
        <v>168</v>
      </c>
      <c r="B167" s="12">
        <v>195000</v>
      </c>
      <c r="C167" s="9">
        <v>1</v>
      </c>
      <c r="D167" s="9">
        <v>195000</v>
      </c>
      <c r="E167" s="9"/>
      <c r="F167" s="9"/>
      <c r="G167" s="9"/>
      <c r="H167" s="9"/>
      <c r="I167" s="9"/>
      <c r="J167" s="9"/>
      <c r="K167" s="9"/>
      <c r="L167" s="9"/>
      <c r="M167" s="9"/>
      <c r="N167" s="8"/>
    </row>
    <row r="168" spans="1:14">
      <c r="A168" s="12">
        <v>170</v>
      </c>
      <c r="B168" s="12">
        <v>197000</v>
      </c>
      <c r="C168" s="9">
        <v>1</v>
      </c>
      <c r="D168" s="9">
        <v>311350</v>
      </c>
      <c r="E168" s="9"/>
      <c r="F168" s="9"/>
      <c r="G168" s="9"/>
      <c r="H168" s="9"/>
      <c r="I168" s="9"/>
      <c r="J168" s="9"/>
      <c r="K168" s="9"/>
      <c r="L168" s="9"/>
      <c r="M168" s="9"/>
      <c r="N168" s="8"/>
    </row>
    <row r="169" spans="1:14">
      <c r="A169" s="12">
        <v>179</v>
      </c>
      <c r="B169" s="12">
        <v>206000</v>
      </c>
      <c r="C169" s="9"/>
      <c r="D169" s="9"/>
      <c r="E169" s="9">
        <v>1</v>
      </c>
      <c r="F169" s="9">
        <v>179</v>
      </c>
      <c r="G169" s="9">
        <v>344244</v>
      </c>
      <c r="H169" s="9"/>
      <c r="I169" s="9"/>
      <c r="J169" s="9">
        <v>1</v>
      </c>
      <c r="K169" s="9">
        <v>344244</v>
      </c>
      <c r="L169" s="9"/>
      <c r="M169" s="9"/>
      <c r="N169" s="8"/>
    </row>
    <row r="170" spans="1:14">
      <c r="A170" s="2"/>
      <c r="B170" s="2"/>
      <c r="C170" s="10">
        <v>347231</v>
      </c>
      <c r="D170" s="10">
        <v>44451.004328530573</v>
      </c>
      <c r="E170" s="10">
        <v>108138</v>
      </c>
      <c r="F170" s="10">
        <v>2844847</v>
      </c>
      <c r="G170" s="10">
        <v>41192.343422293736</v>
      </c>
      <c r="H170" s="10">
        <v>4606</v>
      </c>
      <c r="I170" s="10">
        <v>46112.295049934866</v>
      </c>
      <c r="J170" s="10">
        <v>43474</v>
      </c>
      <c r="K170" s="10">
        <v>44155.284560886968</v>
      </c>
      <c r="L170" s="10">
        <v>60058</v>
      </c>
      <c r="M170" s="10">
        <v>38670.244780045956</v>
      </c>
    </row>
  </sheetData>
  <mergeCells count="5">
    <mergeCell ref="C6:D6"/>
    <mergeCell ref="E6:G6"/>
    <mergeCell ref="H6:I6"/>
    <mergeCell ref="J6:K6"/>
    <mergeCell ref="L6:M6"/>
  </mergeCells>
  <pageMargins left="0" right="0" top="0" bottom="0" header="0.31496062992126" footer="0.31496062992126"/>
  <pageSetup paperSize="9" scale="70"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5:R170"/>
  <sheetViews>
    <sheetView workbookViewId="0">
      <pane xSplit="2" ySplit="7" topLeftCell="C8" activePane="bottomRight" state="frozen"/>
      <selection activeCell="A74" sqref="A74:IV74"/>
      <selection pane="topRight" activeCell="A74" sqref="A74:IV74"/>
      <selection pane="bottomLeft" activeCell="A74" sqref="A74:IV74"/>
      <selection pane="bottomRight" activeCell="A74" sqref="A74:IV74"/>
    </sheetView>
  </sheetViews>
  <sheetFormatPr defaultColWidth="8.85546875" defaultRowHeight="15"/>
  <cols>
    <col min="1" max="1" width="5.7109375" bestFit="1" customWidth="1"/>
    <col min="2" max="2" width="9.140625" bestFit="1" customWidth="1"/>
    <col min="3" max="3" width="8.7109375" bestFit="1" customWidth="1"/>
    <col min="4" max="4" width="10.7109375" customWidth="1"/>
    <col min="5" max="5" width="22.140625" style="8" customWidth="1"/>
    <col min="6" max="8" width="8.42578125" style="8" customWidth="1"/>
    <col min="9" max="9" width="8.42578125" bestFit="1" customWidth="1"/>
    <col min="10" max="10" width="9.42578125" customWidth="1"/>
    <col min="11" max="11" width="8.28515625" customWidth="1"/>
    <col min="12" max="12" width="8.42578125" bestFit="1" customWidth="1"/>
    <col min="13" max="13" width="9.42578125" bestFit="1" customWidth="1"/>
    <col min="14" max="14" width="9.42578125" customWidth="1"/>
    <col min="15" max="15" width="8.42578125" bestFit="1" customWidth="1"/>
    <col min="16" max="16" width="8.28515625" bestFit="1" customWidth="1"/>
  </cols>
  <sheetData>
    <row r="5" spans="1:18">
      <c r="C5" s="3" t="s">
        <v>2</v>
      </c>
    </row>
    <row r="6" spans="1:18" ht="101.25" customHeight="1">
      <c r="A6" s="6"/>
      <c r="B6" s="6"/>
      <c r="C6" s="618" t="s">
        <v>6</v>
      </c>
      <c r="D6" s="621"/>
      <c r="E6" s="619"/>
      <c r="F6" s="618" t="s">
        <v>5</v>
      </c>
      <c r="G6" s="621"/>
      <c r="H6" s="619"/>
      <c r="I6" s="618" t="s">
        <v>8</v>
      </c>
      <c r="J6" s="621"/>
      <c r="K6" s="619"/>
      <c r="L6" s="618" t="s">
        <v>9</v>
      </c>
      <c r="M6" s="621"/>
      <c r="N6" s="619"/>
      <c r="O6" s="618" t="s">
        <v>10</v>
      </c>
      <c r="P6" s="621"/>
      <c r="Q6" s="619"/>
    </row>
    <row r="7" spans="1:18" s="5" customFormat="1" ht="27">
      <c r="A7" s="4" t="s">
        <v>0</v>
      </c>
      <c r="B7" s="4" t="s">
        <v>3</v>
      </c>
      <c r="C7" s="4" t="s">
        <v>1</v>
      </c>
      <c r="D7" s="7" t="s">
        <v>4</v>
      </c>
      <c r="E7" s="4" t="s">
        <v>7</v>
      </c>
      <c r="F7" s="4" t="s">
        <v>1</v>
      </c>
      <c r="G7" s="7" t="s">
        <v>4</v>
      </c>
      <c r="H7" s="4" t="s">
        <v>7</v>
      </c>
      <c r="I7" s="7" t="s">
        <v>1</v>
      </c>
      <c r="J7" s="7" t="s">
        <v>4</v>
      </c>
      <c r="K7" s="4" t="s">
        <v>7</v>
      </c>
      <c r="L7" s="7" t="s">
        <v>1</v>
      </c>
      <c r="M7" s="7" t="s">
        <v>4</v>
      </c>
      <c r="N7" s="4" t="s">
        <v>7</v>
      </c>
      <c r="O7" s="11" t="s">
        <v>1</v>
      </c>
      <c r="P7" s="11" t="s">
        <v>4</v>
      </c>
      <c r="Q7" s="4" t="s">
        <v>7</v>
      </c>
    </row>
    <row r="8" spans="1:18">
      <c r="A8" s="1">
        <v>0</v>
      </c>
      <c r="B8" s="1">
        <v>18000</v>
      </c>
      <c r="C8" s="9"/>
      <c r="D8" s="9"/>
      <c r="E8" s="9"/>
      <c r="F8" s="9">
        <v>29</v>
      </c>
      <c r="G8" s="9">
        <v>0</v>
      </c>
      <c r="H8" s="9">
        <v>29513.79</v>
      </c>
      <c r="I8" s="9">
        <v>6</v>
      </c>
      <c r="J8" s="9">
        <v>0</v>
      </c>
      <c r="K8" s="9">
        <v>33700</v>
      </c>
      <c r="L8" s="9">
        <v>9</v>
      </c>
      <c r="M8" s="9">
        <v>0</v>
      </c>
      <c r="N8" s="9">
        <v>31411.11</v>
      </c>
      <c r="O8" s="9">
        <v>14</v>
      </c>
      <c r="P8" s="9">
        <v>0</v>
      </c>
      <c r="Q8" s="9">
        <v>26500</v>
      </c>
      <c r="R8" s="8"/>
    </row>
    <row r="9" spans="1:18">
      <c r="A9" s="1">
        <v>1</v>
      </c>
      <c r="B9" s="1">
        <v>18095</v>
      </c>
      <c r="C9" s="9"/>
      <c r="D9" s="9"/>
      <c r="E9" s="9"/>
      <c r="F9" s="9">
        <v>3</v>
      </c>
      <c r="G9" s="9">
        <v>3</v>
      </c>
      <c r="H9" s="9">
        <v>27700</v>
      </c>
      <c r="I9" s="9"/>
      <c r="J9" s="9"/>
      <c r="K9" s="9"/>
      <c r="L9" s="9">
        <v>1</v>
      </c>
      <c r="M9" s="9">
        <v>1</v>
      </c>
      <c r="N9" s="9">
        <v>30100</v>
      </c>
      <c r="O9" s="9">
        <v>2</v>
      </c>
      <c r="P9" s="9">
        <v>2</v>
      </c>
      <c r="Q9" s="9">
        <v>26500</v>
      </c>
      <c r="R9" s="8"/>
    </row>
    <row r="10" spans="1:18">
      <c r="A10" s="1">
        <v>2</v>
      </c>
      <c r="B10" s="1">
        <v>18380</v>
      </c>
      <c r="C10" s="9"/>
      <c r="D10" s="9"/>
      <c r="E10" s="9"/>
      <c r="F10" s="9">
        <v>34</v>
      </c>
      <c r="G10" s="9">
        <v>68</v>
      </c>
      <c r="H10" s="9">
        <v>29358.82</v>
      </c>
      <c r="I10" s="9">
        <v>5</v>
      </c>
      <c r="J10" s="9">
        <v>10</v>
      </c>
      <c r="K10" s="9">
        <v>33700</v>
      </c>
      <c r="L10" s="9">
        <v>17</v>
      </c>
      <c r="M10" s="9">
        <v>34</v>
      </c>
      <c r="N10" s="9">
        <v>30100</v>
      </c>
      <c r="O10" s="9">
        <v>12</v>
      </c>
      <c r="P10" s="9">
        <v>24</v>
      </c>
      <c r="Q10" s="9">
        <v>26500</v>
      </c>
      <c r="R10" s="8"/>
    </row>
    <row r="11" spans="1:18">
      <c r="A11" s="1">
        <v>3</v>
      </c>
      <c r="B11" s="1">
        <v>18855</v>
      </c>
      <c r="C11" s="9"/>
      <c r="D11" s="9"/>
      <c r="E11" s="9"/>
      <c r="F11" s="9">
        <v>49</v>
      </c>
      <c r="G11" s="9">
        <v>147</v>
      </c>
      <c r="H11" s="9">
        <v>29144.9</v>
      </c>
      <c r="I11" s="9">
        <v>3</v>
      </c>
      <c r="J11" s="9">
        <v>9</v>
      </c>
      <c r="K11" s="9">
        <v>33700</v>
      </c>
      <c r="L11" s="9">
        <v>30</v>
      </c>
      <c r="M11" s="9">
        <v>90</v>
      </c>
      <c r="N11" s="9">
        <v>30100</v>
      </c>
      <c r="O11" s="9">
        <v>16</v>
      </c>
      <c r="P11" s="9">
        <v>48</v>
      </c>
      <c r="Q11" s="9">
        <v>26500</v>
      </c>
      <c r="R11" s="8"/>
    </row>
    <row r="12" spans="1:18">
      <c r="A12" s="1">
        <v>4</v>
      </c>
      <c r="B12" s="1">
        <v>19520</v>
      </c>
      <c r="C12" s="9"/>
      <c r="D12" s="9"/>
      <c r="E12" s="9"/>
      <c r="F12" s="9">
        <v>72</v>
      </c>
      <c r="G12" s="9">
        <v>288</v>
      </c>
      <c r="H12" s="9">
        <v>28300</v>
      </c>
      <c r="I12" s="9">
        <v>2</v>
      </c>
      <c r="J12" s="9">
        <v>8</v>
      </c>
      <c r="K12" s="9">
        <v>33700</v>
      </c>
      <c r="L12" s="9">
        <v>32</v>
      </c>
      <c r="M12" s="9">
        <v>128</v>
      </c>
      <c r="N12" s="9">
        <v>30100</v>
      </c>
      <c r="O12" s="9">
        <v>38</v>
      </c>
      <c r="P12" s="9">
        <v>152</v>
      </c>
      <c r="Q12" s="9">
        <v>26500</v>
      </c>
      <c r="R12" s="8"/>
    </row>
    <row r="13" spans="1:18">
      <c r="A13" s="1">
        <v>5</v>
      </c>
      <c r="B13" s="1">
        <v>20375</v>
      </c>
      <c r="C13" s="9">
        <v>41</v>
      </c>
      <c r="D13" s="9">
        <v>205</v>
      </c>
      <c r="E13" s="9">
        <v>26500</v>
      </c>
      <c r="F13" s="9">
        <v>490</v>
      </c>
      <c r="G13" s="9">
        <v>2450</v>
      </c>
      <c r="H13" s="9">
        <v>29152.240000000002</v>
      </c>
      <c r="I13" s="9">
        <v>48</v>
      </c>
      <c r="J13" s="9">
        <v>240</v>
      </c>
      <c r="K13" s="9">
        <v>33700</v>
      </c>
      <c r="L13" s="9">
        <v>265</v>
      </c>
      <c r="M13" s="9">
        <v>1325</v>
      </c>
      <c r="N13" s="9">
        <v>30100</v>
      </c>
      <c r="O13" s="9">
        <v>177</v>
      </c>
      <c r="P13" s="9">
        <v>885</v>
      </c>
      <c r="Q13" s="9">
        <v>26500</v>
      </c>
      <c r="R13" s="8"/>
    </row>
    <row r="14" spans="1:18">
      <c r="A14" s="1">
        <v>6</v>
      </c>
      <c r="B14" s="1">
        <v>21420</v>
      </c>
      <c r="C14" s="9">
        <v>53</v>
      </c>
      <c r="D14" s="9">
        <v>318</v>
      </c>
      <c r="E14" s="9">
        <v>26500</v>
      </c>
      <c r="F14" s="9">
        <v>694</v>
      </c>
      <c r="G14" s="9">
        <v>4164</v>
      </c>
      <c r="H14" s="9">
        <v>28984.73</v>
      </c>
      <c r="I14" s="9">
        <v>56</v>
      </c>
      <c r="J14" s="9">
        <v>336</v>
      </c>
      <c r="K14" s="9">
        <v>33700</v>
      </c>
      <c r="L14" s="9">
        <v>367</v>
      </c>
      <c r="M14" s="9">
        <v>2202</v>
      </c>
      <c r="N14" s="9">
        <v>30100</v>
      </c>
      <c r="O14" s="9">
        <v>271</v>
      </c>
      <c r="P14" s="9">
        <v>1626</v>
      </c>
      <c r="Q14" s="9">
        <v>26500</v>
      </c>
      <c r="R14" s="8"/>
    </row>
    <row r="15" spans="1:18">
      <c r="A15" s="1">
        <v>7</v>
      </c>
      <c r="B15" s="1">
        <v>22655</v>
      </c>
      <c r="C15" s="9">
        <v>58</v>
      </c>
      <c r="D15" s="9">
        <v>406</v>
      </c>
      <c r="E15" s="9">
        <v>26500</v>
      </c>
      <c r="F15" s="9">
        <v>855</v>
      </c>
      <c r="G15" s="9">
        <v>5985</v>
      </c>
      <c r="H15" s="9">
        <v>28845.26</v>
      </c>
      <c r="I15" s="9">
        <v>76</v>
      </c>
      <c r="J15" s="9">
        <v>532</v>
      </c>
      <c r="K15" s="9">
        <v>33700</v>
      </c>
      <c r="L15" s="9">
        <v>405</v>
      </c>
      <c r="M15" s="9">
        <v>2835</v>
      </c>
      <c r="N15" s="9">
        <v>30100</v>
      </c>
      <c r="O15" s="9">
        <v>374</v>
      </c>
      <c r="P15" s="9">
        <v>2618</v>
      </c>
      <c r="Q15" s="9">
        <v>26500</v>
      </c>
      <c r="R15" s="8"/>
    </row>
    <row r="16" spans="1:18">
      <c r="A16" s="1">
        <v>8</v>
      </c>
      <c r="B16" s="1">
        <v>24080</v>
      </c>
      <c r="C16" s="9">
        <v>111</v>
      </c>
      <c r="D16" s="9">
        <v>888</v>
      </c>
      <c r="E16" s="9">
        <v>26500</v>
      </c>
      <c r="F16" s="9">
        <v>1135</v>
      </c>
      <c r="G16" s="9">
        <v>9080</v>
      </c>
      <c r="H16" s="9">
        <v>28630.23</v>
      </c>
      <c r="I16" s="9">
        <v>79</v>
      </c>
      <c r="J16" s="9">
        <v>632</v>
      </c>
      <c r="K16" s="9">
        <v>33700</v>
      </c>
      <c r="L16" s="9">
        <v>513</v>
      </c>
      <c r="M16" s="9">
        <v>4104</v>
      </c>
      <c r="N16" s="9">
        <v>30100</v>
      </c>
      <c r="O16" s="9">
        <v>543</v>
      </c>
      <c r="P16" s="9">
        <v>4344</v>
      </c>
      <c r="Q16" s="9">
        <v>26504.07</v>
      </c>
      <c r="R16" s="8"/>
    </row>
    <row r="17" spans="1:18">
      <c r="A17" s="1">
        <v>9</v>
      </c>
      <c r="B17" s="1">
        <v>25695</v>
      </c>
      <c r="C17" s="9">
        <v>230</v>
      </c>
      <c r="D17" s="9">
        <v>2070</v>
      </c>
      <c r="E17" s="9">
        <v>26512.3</v>
      </c>
      <c r="F17" s="9">
        <v>1238</v>
      </c>
      <c r="G17" s="9">
        <v>11142</v>
      </c>
      <c r="H17" s="9">
        <v>28576.25</v>
      </c>
      <c r="I17" s="9">
        <v>77</v>
      </c>
      <c r="J17" s="9">
        <v>693</v>
      </c>
      <c r="K17" s="9">
        <v>33700</v>
      </c>
      <c r="L17" s="9">
        <v>560</v>
      </c>
      <c r="M17" s="9">
        <v>5040</v>
      </c>
      <c r="N17" s="9">
        <v>30100</v>
      </c>
      <c r="O17" s="9">
        <v>601</v>
      </c>
      <c r="P17" s="9">
        <v>5409</v>
      </c>
      <c r="Q17" s="9">
        <v>26500</v>
      </c>
      <c r="R17" s="8"/>
    </row>
    <row r="18" spans="1:18">
      <c r="A18" s="1">
        <v>10</v>
      </c>
      <c r="B18" s="1">
        <v>27500</v>
      </c>
      <c r="C18" s="9">
        <v>856</v>
      </c>
      <c r="D18" s="9">
        <v>8560</v>
      </c>
      <c r="E18" s="9">
        <v>27499.53</v>
      </c>
      <c r="F18" s="9">
        <v>1957</v>
      </c>
      <c r="G18" s="9">
        <v>19570</v>
      </c>
      <c r="H18" s="9">
        <v>29189.4</v>
      </c>
      <c r="I18" s="9">
        <v>104</v>
      </c>
      <c r="J18" s="9">
        <v>1040</v>
      </c>
      <c r="K18" s="9">
        <v>34615.379999999997</v>
      </c>
      <c r="L18" s="9">
        <v>767</v>
      </c>
      <c r="M18" s="9">
        <v>7670</v>
      </c>
      <c r="N18" s="9">
        <v>31033.05</v>
      </c>
      <c r="O18" s="9">
        <v>1086</v>
      </c>
      <c r="P18" s="9">
        <v>10860</v>
      </c>
      <c r="Q18" s="9">
        <v>27367.68</v>
      </c>
      <c r="R18" s="8"/>
    </row>
    <row r="19" spans="1:18">
      <c r="A19" s="1">
        <v>11</v>
      </c>
      <c r="B19" s="1">
        <v>28100</v>
      </c>
      <c r="C19" s="9">
        <v>1763</v>
      </c>
      <c r="D19" s="9">
        <v>19393</v>
      </c>
      <c r="E19" s="9">
        <v>28100</v>
      </c>
      <c r="F19" s="9">
        <v>2550</v>
      </c>
      <c r="G19" s="9">
        <v>28050</v>
      </c>
      <c r="H19" s="9">
        <v>29708.65</v>
      </c>
      <c r="I19" s="9">
        <v>149</v>
      </c>
      <c r="J19" s="9">
        <v>1639</v>
      </c>
      <c r="K19" s="9">
        <v>35215</v>
      </c>
      <c r="L19" s="9">
        <v>919</v>
      </c>
      <c r="M19" s="9">
        <v>10109</v>
      </c>
      <c r="N19" s="9">
        <v>31624.15</v>
      </c>
      <c r="O19" s="9">
        <v>1482</v>
      </c>
      <c r="P19" s="9">
        <v>16302</v>
      </c>
      <c r="Q19" s="9">
        <v>27967.23</v>
      </c>
      <c r="R19" s="8"/>
    </row>
    <row r="20" spans="1:18">
      <c r="A20" s="1">
        <v>12</v>
      </c>
      <c r="B20" s="1">
        <v>28710</v>
      </c>
      <c r="C20" s="9">
        <v>2768</v>
      </c>
      <c r="D20" s="9">
        <v>33216</v>
      </c>
      <c r="E20" s="9">
        <v>28708.99</v>
      </c>
      <c r="F20" s="9">
        <v>2793</v>
      </c>
      <c r="G20" s="9">
        <v>33516</v>
      </c>
      <c r="H20" s="9">
        <v>30164.61</v>
      </c>
      <c r="I20" s="9">
        <v>149</v>
      </c>
      <c r="J20" s="9">
        <v>1788</v>
      </c>
      <c r="K20" s="9">
        <v>35764.639999999999</v>
      </c>
      <c r="L20" s="9">
        <v>948</v>
      </c>
      <c r="M20" s="9">
        <v>11376</v>
      </c>
      <c r="N20" s="9">
        <v>32225.65</v>
      </c>
      <c r="O20" s="9">
        <v>1696</v>
      </c>
      <c r="P20" s="9">
        <v>20352</v>
      </c>
      <c r="Q20" s="9">
        <v>28520.59</v>
      </c>
      <c r="R20" s="8"/>
    </row>
    <row r="21" spans="1:18">
      <c r="A21" s="1">
        <v>13</v>
      </c>
      <c r="B21" s="1">
        <v>29330</v>
      </c>
      <c r="C21" s="9">
        <v>4164</v>
      </c>
      <c r="D21" s="9">
        <v>54132</v>
      </c>
      <c r="E21" s="9">
        <v>29329.85</v>
      </c>
      <c r="F21" s="9">
        <v>3113</v>
      </c>
      <c r="G21" s="9">
        <v>40469</v>
      </c>
      <c r="H21" s="9">
        <v>30701.51</v>
      </c>
      <c r="I21" s="9">
        <v>131</v>
      </c>
      <c r="J21" s="9">
        <v>1703</v>
      </c>
      <c r="K21" s="9">
        <v>36441.99</v>
      </c>
      <c r="L21" s="9">
        <v>1037</v>
      </c>
      <c r="M21" s="9">
        <v>13481</v>
      </c>
      <c r="N21" s="9">
        <v>32847.11</v>
      </c>
      <c r="O21" s="9">
        <v>1945</v>
      </c>
      <c r="P21" s="9">
        <v>25285</v>
      </c>
      <c r="Q21" s="9">
        <v>29170.92</v>
      </c>
      <c r="R21" s="8"/>
    </row>
    <row r="22" spans="1:18">
      <c r="A22" s="1">
        <v>14</v>
      </c>
      <c r="B22" s="1">
        <v>29960</v>
      </c>
      <c r="C22" s="9">
        <v>5422</v>
      </c>
      <c r="D22" s="9">
        <v>75908</v>
      </c>
      <c r="E22" s="9">
        <v>29959.88</v>
      </c>
      <c r="F22" s="9">
        <v>3189</v>
      </c>
      <c r="G22" s="9">
        <v>44646</v>
      </c>
      <c r="H22" s="9">
        <v>31319.83</v>
      </c>
      <c r="I22" s="9">
        <v>133</v>
      </c>
      <c r="J22" s="9">
        <v>1862</v>
      </c>
      <c r="K22" s="9">
        <v>37086.620000000003</v>
      </c>
      <c r="L22" s="9">
        <v>1052</v>
      </c>
      <c r="M22" s="9">
        <v>14728</v>
      </c>
      <c r="N22" s="9">
        <v>33491.17</v>
      </c>
      <c r="O22" s="9">
        <v>2004</v>
      </c>
      <c r="P22" s="9">
        <v>28056</v>
      </c>
      <c r="Q22" s="9">
        <v>29797.26</v>
      </c>
      <c r="R22" s="8"/>
    </row>
    <row r="23" spans="1:18">
      <c r="A23" s="1">
        <v>15</v>
      </c>
      <c r="B23" s="1">
        <v>30600</v>
      </c>
      <c r="C23" s="9">
        <v>6564</v>
      </c>
      <c r="D23" s="9">
        <v>98460</v>
      </c>
      <c r="E23" s="9">
        <v>30601.09</v>
      </c>
      <c r="F23" s="9">
        <v>3591</v>
      </c>
      <c r="G23" s="9">
        <v>53865</v>
      </c>
      <c r="H23" s="9">
        <v>31925.040000000001</v>
      </c>
      <c r="I23" s="9">
        <v>146</v>
      </c>
      <c r="J23" s="9">
        <v>2190</v>
      </c>
      <c r="K23" s="9">
        <v>37753.94</v>
      </c>
      <c r="L23" s="9">
        <v>1170</v>
      </c>
      <c r="M23" s="9">
        <v>17550</v>
      </c>
      <c r="N23" s="9">
        <v>34121.81</v>
      </c>
      <c r="O23" s="9">
        <v>2275</v>
      </c>
      <c r="P23" s="9">
        <v>34125</v>
      </c>
      <c r="Q23" s="9">
        <v>30421.200000000001</v>
      </c>
      <c r="R23" s="8"/>
    </row>
    <row r="24" spans="1:18">
      <c r="A24" s="1">
        <v>16</v>
      </c>
      <c r="B24" s="1">
        <v>31250</v>
      </c>
      <c r="C24" s="9">
        <v>7418</v>
      </c>
      <c r="D24" s="9">
        <v>118688</v>
      </c>
      <c r="E24" s="9">
        <v>31248.22</v>
      </c>
      <c r="F24" s="9">
        <v>3504</v>
      </c>
      <c r="G24" s="9">
        <v>56064</v>
      </c>
      <c r="H24" s="9">
        <v>32632.84</v>
      </c>
      <c r="I24" s="9">
        <v>138</v>
      </c>
      <c r="J24" s="9">
        <v>2208</v>
      </c>
      <c r="K24" s="9">
        <v>38373.57</v>
      </c>
      <c r="L24" s="9">
        <v>1207</v>
      </c>
      <c r="M24" s="9">
        <v>19312</v>
      </c>
      <c r="N24" s="9">
        <v>34801</v>
      </c>
      <c r="O24" s="9">
        <v>2159</v>
      </c>
      <c r="P24" s="9">
        <v>34544</v>
      </c>
      <c r="Q24" s="9">
        <v>31053.78</v>
      </c>
      <c r="R24" s="8"/>
    </row>
    <row r="25" spans="1:18">
      <c r="A25" s="1">
        <v>17</v>
      </c>
      <c r="B25" s="1">
        <v>31910</v>
      </c>
      <c r="C25" s="9">
        <v>8182</v>
      </c>
      <c r="D25" s="9">
        <v>139094</v>
      </c>
      <c r="E25" s="9">
        <v>31910.42</v>
      </c>
      <c r="F25" s="9">
        <v>3487</v>
      </c>
      <c r="G25" s="9">
        <v>59279</v>
      </c>
      <c r="H25" s="9">
        <v>33272.26</v>
      </c>
      <c r="I25" s="9">
        <v>143</v>
      </c>
      <c r="J25" s="9">
        <v>2431</v>
      </c>
      <c r="K25" s="9">
        <v>39061.360000000001</v>
      </c>
      <c r="L25" s="9">
        <v>1157</v>
      </c>
      <c r="M25" s="9">
        <v>19669</v>
      </c>
      <c r="N25" s="9">
        <v>35436.42</v>
      </c>
      <c r="O25" s="9">
        <v>2187</v>
      </c>
      <c r="P25" s="9">
        <v>37179</v>
      </c>
      <c r="Q25" s="9">
        <v>31748.81</v>
      </c>
      <c r="R25" s="8"/>
    </row>
    <row r="26" spans="1:18">
      <c r="A26" s="1">
        <v>18</v>
      </c>
      <c r="B26" s="1">
        <v>32580</v>
      </c>
      <c r="C26" s="9">
        <v>8289</v>
      </c>
      <c r="D26" s="9">
        <v>149202</v>
      </c>
      <c r="E26" s="9">
        <v>32578.61</v>
      </c>
      <c r="F26" s="9">
        <v>3513</v>
      </c>
      <c r="G26" s="9">
        <v>63234</v>
      </c>
      <c r="H26" s="9">
        <v>33962.75</v>
      </c>
      <c r="I26" s="9">
        <v>140</v>
      </c>
      <c r="J26" s="9">
        <v>2520</v>
      </c>
      <c r="K26" s="9">
        <v>39733.71</v>
      </c>
      <c r="L26" s="9">
        <v>1168</v>
      </c>
      <c r="M26" s="9">
        <v>21024</v>
      </c>
      <c r="N26" s="9">
        <v>36134.230000000003</v>
      </c>
      <c r="O26" s="9">
        <v>2205</v>
      </c>
      <c r="P26" s="9">
        <v>39690</v>
      </c>
      <c r="Q26" s="9">
        <v>32446.09</v>
      </c>
      <c r="R26" s="8"/>
    </row>
    <row r="27" spans="1:18">
      <c r="A27" s="1">
        <v>19</v>
      </c>
      <c r="B27" s="1">
        <v>33260</v>
      </c>
      <c r="C27" s="9">
        <v>8585</v>
      </c>
      <c r="D27" s="9">
        <v>163115</v>
      </c>
      <c r="E27" s="9">
        <v>33259.46</v>
      </c>
      <c r="F27" s="9">
        <v>3414</v>
      </c>
      <c r="G27" s="9">
        <v>64866</v>
      </c>
      <c r="H27" s="9">
        <v>34681.339999999997</v>
      </c>
      <c r="I27" s="9">
        <v>127</v>
      </c>
      <c r="J27" s="9">
        <v>2413</v>
      </c>
      <c r="K27" s="9">
        <v>40404.21</v>
      </c>
      <c r="L27" s="9">
        <v>1191</v>
      </c>
      <c r="M27" s="9">
        <v>22629</v>
      </c>
      <c r="N27" s="9">
        <v>36808.589999999997</v>
      </c>
      <c r="O27" s="9">
        <v>2096</v>
      </c>
      <c r="P27" s="9">
        <v>39824</v>
      </c>
      <c r="Q27" s="9">
        <v>33125.83</v>
      </c>
      <c r="R27" s="8"/>
    </row>
    <row r="28" spans="1:18">
      <c r="A28" s="1">
        <v>20</v>
      </c>
      <c r="B28" s="1">
        <v>33950</v>
      </c>
      <c r="C28" s="9">
        <v>9981</v>
      </c>
      <c r="D28" s="9">
        <v>199620</v>
      </c>
      <c r="E28" s="9">
        <v>33949.730000000003</v>
      </c>
      <c r="F28" s="9">
        <v>3616</v>
      </c>
      <c r="G28" s="9">
        <v>72320</v>
      </c>
      <c r="H28" s="9">
        <v>35467.089999999997</v>
      </c>
      <c r="I28" s="9">
        <v>161</v>
      </c>
      <c r="J28" s="9">
        <v>3220</v>
      </c>
      <c r="K28" s="9">
        <v>41085.089999999997</v>
      </c>
      <c r="L28" s="9">
        <v>1283</v>
      </c>
      <c r="M28" s="9">
        <v>25660</v>
      </c>
      <c r="N28" s="9">
        <v>37492.879999999997</v>
      </c>
      <c r="O28" s="9">
        <v>2172</v>
      </c>
      <c r="P28" s="9">
        <v>43440</v>
      </c>
      <c r="Q28" s="9">
        <v>33854.03</v>
      </c>
      <c r="R28" s="8"/>
    </row>
    <row r="29" spans="1:18">
      <c r="A29" s="1">
        <v>21</v>
      </c>
      <c r="B29" s="1">
        <v>34650</v>
      </c>
      <c r="C29" s="9">
        <v>9173</v>
      </c>
      <c r="D29" s="9">
        <v>192633</v>
      </c>
      <c r="E29" s="9">
        <v>34661.410000000003</v>
      </c>
      <c r="F29" s="9">
        <v>3355</v>
      </c>
      <c r="G29" s="9">
        <v>70455</v>
      </c>
      <c r="H29" s="9">
        <v>36176.83</v>
      </c>
      <c r="I29" s="9">
        <v>130</v>
      </c>
      <c r="J29" s="9">
        <v>2730</v>
      </c>
      <c r="K29" s="9">
        <v>41811.58</v>
      </c>
      <c r="L29" s="9">
        <v>1240</v>
      </c>
      <c r="M29" s="9">
        <v>26040</v>
      </c>
      <c r="N29" s="9">
        <v>38199.870000000003</v>
      </c>
      <c r="O29" s="9">
        <v>1985</v>
      </c>
      <c r="P29" s="9">
        <v>41685</v>
      </c>
      <c r="Q29" s="9">
        <v>34544.03</v>
      </c>
      <c r="R29" s="8"/>
    </row>
    <row r="30" spans="1:18">
      <c r="A30" s="1">
        <v>22</v>
      </c>
      <c r="B30" s="1">
        <v>35360</v>
      </c>
      <c r="C30" s="9">
        <v>9093</v>
      </c>
      <c r="D30" s="9">
        <v>200046</v>
      </c>
      <c r="E30" s="9">
        <v>35359.61</v>
      </c>
      <c r="F30" s="9">
        <v>3337</v>
      </c>
      <c r="G30" s="9">
        <v>73414</v>
      </c>
      <c r="H30" s="9">
        <v>36925.89</v>
      </c>
      <c r="I30" s="9">
        <v>128</v>
      </c>
      <c r="J30" s="9">
        <v>2816</v>
      </c>
      <c r="K30" s="9">
        <v>42516.25</v>
      </c>
      <c r="L30" s="9">
        <v>1264</v>
      </c>
      <c r="M30" s="9">
        <v>27808</v>
      </c>
      <c r="N30" s="9">
        <v>38904.879999999997</v>
      </c>
      <c r="O30" s="9">
        <v>1945</v>
      </c>
      <c r="P30" s="9">
        <v>42790</v>
      </c>
      <c r="Q30" s="9">
        <v>35271.9</v>
      </c>
      <c r="R30" s="8"/>
    </row>
    <row r="31" spans="1:18">
      <c r="A31" s="1">
        <v>23</v>
      </c>
      <c r="B31" s="1">
        <v>36080</v>
      </c>
      <c r="C31" s="9">
        <v>9002</v>
      </c>
      <c r="D31" s="9">
        <v>207046</v>
      </c>
      <c r="E31" s="9">
        <v>36079.870000000003</v>
      </c>
      <c r="F31" s="9">
        <v>3241</v>
      </c>
      <c r="G31" s="9">
        <v>74543</v>
      </c>
      <c r="H31" s="9">
        <v>37574.5</v>
      </c>
      <c r="I31" s="9">
        <v>120</v>
      </c>
      <c r="J31" s="9">
        <v>2760</v>
      </c>
      <c r="K31" s="9">
        <v>43265.88</v>
      </c>
      <c r="L31" s="9">
        <v>1175</v>
      </c>
      <c r="M31" s="9">
        <v>27025</v>
      </c>
      <c r="N31" s="9">
        <v>39646.82</v>
      </c>
      <c r="O31" s="9">
        <v>1946</v>
      </c>
      <c r="P31" s="9">
        <v>44758</v>
      </c>
      <c r="Q31" s="9">
        <v>35972.28</v>
      </c>
      <c r="R31" s="8"/>
    </row>
    <row r="32" spans="1:18">
      <c r="A32" s="1">
        <v>24</v>
      </c>
      <c r="B32" s="1">
        <v>36810</v>
      </c>
      <c r="C32" s="9">
        <v>9205</v>
      </c>
      <c r="D32" s="9">
        <v>220920</v>
      </c>
      <c r="E32" s="9">
        <v>36808.959999999999</v>
      </c>
      <c r="F32" s="9">
        <v>3199</v>
      </c>
      <c r="G32" s="9">
        <v>76776</v>
      </c>
      <c r="H32" s="9">
        <v>38387.01</v>
      </c>
      <c r="I32" s="9">
        <v>113</v>
      </c>
      <c r="J32" s="9">
        <v>2712</v>
      </c>
      <c r="K32" s="9">
        <v>44004.959999999999</v>
      </c>
      <c r="L32" s="9">
        <v>1239</v>
      </c>
      <c r="M32" s="9">
        <v>29736</v>
      </c>
      <c r="N32" s="9">
        <v>40376.42</v>
      </c>
      <c r="O32" s="9">
        <v>1847</v>
      </c>
      <c r="P32" s="9">
        <v>44328</v>
      </c>
      <c r="Q32" s="9">
        <v>36708.78</v>
      </c>
      <c r="R32" s="8"/>
    </row>
    <row r="33" spans="1:18">
      <c r="A33" s="1">
        <v>25</v>
      </c>
      <c r="B33" s="1">
        <v>37550</v>
      </c>
      <c r="C33" s="9">
        <v>9721</v>
      </c>
      <c r="D33" s="9">
        <v>243025</v>
      </c>
      <c r="E33" s="9">
        <v>37549.550000000003</v>
      </c>
      <c r="F33" s="9">
        <v>3305</v>
      </c>
      <c r="G33" s="9">
        <v>82625</v>
      </c>
      <c r="H33" s="9">
        <v>39191.480000000003</v>
      </c>
      <c r="I33" s="9">
        <v>120</v>
      </c>
      <c r="J33" s="9">
        <v>3000</v>
      </c>
      <c r="K33" s="9">
        <v>44750</v>
      </c>
      <c r="L33" s="9">
        <v>1321</v>
      </c>
      <c r="M33" s="9">
        <v>33025</v>
      </c>
      <c r="N33" s="9">
        <v>41133.33</v>
      </c>
      <c r="O33" s="9">
        <v>1864</v>
      </c>
      <c r="P33" s="9">
        <v>46600</v>
      </c>
      <c r="Q33" s="9">
        <v>37457.449999999997</v>
      </c>
      <c r="R33" s="8"/>
    </row>
    <row r="34" spans="1:18">
      <c r="A34" s="1">
        <v>26</v>
      </c>
      <c r="B34" s="1">
        <v>38300</v>
      </c>
      <c r="C34" s="9">
        <v>9758</v>
      </c>
      <c r="D34" s="9">
        <v>253708</v>
      </c>
      <c r="E34" s="9">
        <v>38299.03</v>
      </c>
      <c r="F34" s="9">
        <v>3167</v>
      </c>
      <c r="G34" s="9">
        <v>82342</v>
      </c>
      <c r="H34" s="9">
        <v>39991.79</v>
      </c>
      <c r="I34" s="9">
        <v>133</v>
      </c>
      <c r="J34" s="9">
        <v>3458</v>
      </c>
      <c r="K34" s="9">
        <v>45486.92</v>
      </c>
      <c r="L34" s="9">
        <v>1274</v>
      </c>
      <c r="M34" s="9">
        <v>33124</v>
      </c>
      <c r="N34" s="9">
        <v>41881.33</v>
      </c>
      <c r="O34" s="9">
        <v>1760</v>
      </c>
      <c r="P34" s="9">
        <v>45760</v>
      </c>
      <c r="Q34" s="9">
        <v>38208.76</v>
      </c>
      <c r="R34" s="8"/>
    </row>
    <row r="35" spans="1:18">
      <c r="A35" s="1">
        <v>27</v>
      </c>
      <c r="B35" s="1">
        <v>39060</v>
      </c>
      <c r="C35" s="9">
        <v>9828</v>
      </c>
      <c r="D35" s="9">
        <v>265356</v>
      </c>
      <c r="E35" s="9">
        <v>39059.480000000003</v>
      </c>
      <c r="F35" s="9">
        <v>3081</v>
      </c>
      <c r="G35" s="9">
        <v>83187</v>
      </c>
      <c r="H35" s="9">
        <v>40705.15</v>
      </c>
      <c r="I35" s="9">
        <v>103</v>
      </c>
      <c r="J35" s="9">
        <v>2781</v>
      </c>
      <c r="K35" s="9">
        <v>46220.24</v>
      </c>
      <c r="L35" s="9">
        <v>1253</v>
      </c>
      <c r="M35" s="9">
        <v>33831</v>
      </c>
      <c r="N35" s="9">
        <v>42641.32</v>
      </c>
      <c r="O35" s="9">
        <v>1725</v>
      </c>
      <c r="P35" s="9">
        <v>46575</v>
      </c>
      <c r="Q35" s="9">
        <v>38969.449999999997</v>
      </c>
      <c r="R35" s="8"/>
    </row>
    <row r="36" spans="1:18">
      <c r="A36" s="1">
        <v>28</v>
      </c>
      <c r="B36" s="1">
        <v>39830</v>
      </c>
      <c r="C36" s="9">
        <v>9771</v>
      </c>
      <c r="D36" s="9">
        <v>273588</v>
      </c>
      <c r="E36" s="9">
        <v>39840.5</v>
      </c>
      <c r="F36" s="9">
        <v>3073</v>
      </c>
      <c r="G36" s="9">
        <v>86044</v>
      </c>
      <c r="H36" s="9">
        <v>41527.58</v>
      </c>
      <c r="I36" s="9">
        <v>123</v>
      </c>
      <c r="J36" s="9">
        <v>3444</v>
      </c>
      <c r="K36" s="9">
        <v>47001.22</v>
      </c>
      <c r="L36" s="9">
        <v>1240</v>
      </c>
      <c r="M36" s="9">
        <v>34720</v>
      </c>
      <c r="N36" s="9">
        <v>43404.31</v>
      </c>
      <c r="O36" s="9">
        <v>1710</v>
      </c>
      <c r="P36" s="9">
        <v>47880</v>
      </c>
      <c r="Q36" s="9">
        <v>39772.959999999999</v>
      </c>
      <c r="R36" s="8"/>
    </row>
    <row r="37" spans="1:18">
      <c r="A37" s="1">
        <v>29</v>
      </c>
      <c r="B37" s="1">
        <v>40610</v>
      </c>
      <c r="C37" s="9">
        <v>9848</v>
      </c>
      <c r="D37" s="9">
        <v>285592</v>
      </c>
      <c r="E37" s="9">
        <v>40609.69</v>
      </c>
      <c r="F37" s="9">
        <v>2890</v>
      </c>
      <c r="G37" s="9">
        <v>83810</v>
      </c>
      <c r="H37" s="9">
        <v>42312.15</v>
      </c>
      <c r="I37" s="9">
        <v>106</v>
      </c>
      <c r="J37" s="9">
        <v>3074</v>
      </c>
      <c r="K37" s="9">
        <v>47810</v>
      </c>
      <c r="L37" s="9">
        <v>1172</v>
      </c>
      <c r="M37" s="9">
        <v>33988</v>
      </c>
      <c r="N37" s="9">
        <v>44206.45</v>
      </c>
      <c r="O37" s="9">
        <v>1612</v>
      </c>
      <c r="P37" s="9">
        <v>46748</v>
      </c>
      <c r="Q37" s="9">
        <v>40573.39</v>
      </c>
      <c r="R37" s="8"/>
    </row>
    <row r="38" spans="1:18">
      <c r="A38" s="1">
        <v>30</v>
      </c>
      <c r="B38" s="1">
        <v>41400</v>
      </c>
      <c r="C38" s="9">
        <v>10168</v>
      </c>
      <c r="D38" s="9">
        <v>305040</v>
      </c>
      <c r="E38" s="9">
        <v>41399.699999999997</v>
      </c>
      <c r="F38" s="9">
        <v>2901</v>
      </c>
      <c r="G38" s="9">
        <v>87030</v>
      </c>
      <c r="H38" s="9">
        <v>43271.43</v>
      </c>
      <c r="I38" s="9">
        <v>125</v>
      </c>
      <c r="J38" s="9">
        <v>3750</v>
      </c>
      <c r="K38" s="9">
        <v>48566.400000000001</v>
      </c>
      <c r="L38" s="9">
        <v>1262</v>
      </c>
      <c r="M38" s="9">
        <v>37860</v>
      </c>
      <c r="N38" s="9">
        <v>44996.67</v>
      </c>
      <c r="O38" s="9">
        <v>1514</v>
      </c>
      <c r="P38" s="9">
        <v>45420</v>
      </c>
      <c r="Q38" s="9">
        <v>41396.18</v>
      </c>
      <c r="R38" s="8"/>
    </row>
    <row r="39" spans="1:18">
      <c r="A39" s="1">
        <v>31</v>
      </c>
      <c r="B39" s="1">
        <v>42200</v>
      </c>
      <c r="C39" s="9">
        <v>10154</v>
      </c>
      <c r="D39" s="9">
        <v>314774</v>
      </c>
      <c r="E39" s="9">
        <v>42199.23</v>
      </c>
      <c r="F39" s="9">
        <v>2680</v>
      </c>
      <c r="G39" s="9">
        <v>83080</v>
      </c>
      <c r="H39" s="9">
        <v>44087.31</v>
      </c>
      <c r="I39" s="9">
        <v>126</v>
      </c>
      <c r="J39" s="9">
        <v>3906</v>
      </c>
      <c r="K39" s="9">
        <v>49400</v>
      </c>
      <c r="L39" s="9">
        <v>1153</v>
      </c>
      <c r="M39" s="9">
        <v>35743</v>
      </c>
      <c r="N39" s="9">
        <v>45800</v>
      </c>
      <c r="O39" s="9">
        <v>1401</v>
      </c>
      <c r="P39" s="9">
        <v>43431</v>
      </c>
      <c r="Q39" s="9">
        <v>42200</v>
      </c>
      <c r="R39" s="8"/>
    </row>
    <row r="40" spans="1:18">
      <c r="A40" s="1">
        <v>32</v>
      </c>
      <c r="B40" s="1">
        <v>43010</v>
      </c>
      <c r="C40" s="9">
        <v>10042</v>
      </c>
      <c r="D40" s="9">
        <v>321344</v>
      </c>
      <c r="E40" s="9">
        <v>43009.46</v>
      </c>
      <c r="F40" s="9">
        <v>2615</v>
      </c>
      <c r="G40" s="9">
        <v>83680</v>
      </c>
      <c r="H40" s="9">
        <v>44959.69</v>
      </c>
      <c r="I40" s="9">
        <v>124</v>
      </c>
      <c r="J40" s="9">
        <v>3968</v>
      </c>
      <c r="K40" s="9">
        <v>50210</v>
      </c>
      <c r="L40" s="9">
        <v>1168</v>
      </c>
      <c r="M40" s="9">
        <v>37376</v>
      </c>
      <c r="N40" s="9">
        <v>46609.31</v>
      </c>
      <c r="O40" s="9">
        <v>1323</v>
      </c>
      <c r="P40" s="9">
        <v>42336</v>
      </c>
      <c r="Q40" s="9">
        <v>43011.25</v>
      </c>
      <c r="R40" s="8"/>
    </row>
    <row r="41" spans="1:18">
      <c r="A41" s="1">
        <v>33</v>
      </c>
      <c r="B41" s="1">
        <v>43830</v>
      </c>
      <c r="C41" s="9">
        <v>9797</v>
      </c>
      <c r="D41" s="9">
        <v>323301</v>
      </c>
      <c r="E41" s="9">
        <v>43827.96</v>
      </c>
      <c r="F41" s="9">
        <v>2498</v>
      </c>
      <c r="G41" s="9">
        <v>82434</v>
      </c>
      <c r="H41" s="9">
        <v>45752.17</v>
      </c>
      <c r="I41" s="9">
        <v>101</v>
      </c>
      <c r="J41" s="9">
        <v>3333</v>
      </c>
      <c r="K41" s="9">
        <v>51030</v>
      </c>
      <c r="L41" s="9">
        <v>1132</v>
      </c>
      <c r="M41" s="9">
        <v>37356</v>
      </c>
      <c r="N41" s="9">
        <v>47430</v>
      </c>
      <c r="O41" s="9">
        <v>1265</v>
      </c>
      <c r="P41" s="9">
        <v>41745</v>
      </c>
      <c r="Q41" s="9">
        <v>43829.35</v>
      </c>
      <c r="R41" s="8"/>
    </row>
    <row r="42" spans="1:18">
      <c r="A42" s="1">
        <v>34</v>
      </c>
      <c r="B42" s="1">
        <v>44660</v>
      </c>
      <c r="C42" s="9">
        <v>9550</v>
      </c>
      <c r="D42" s="9">
        <v>324700</v>
      </c>
      <c r="E42" s="9">
        <v>44660.4</v>
      </c>
      <c r="F42" s="9">
        <v>2349</v>
      </c>
      <c r="G42" s="9">
        <v>79866</v>
      </c>
      <c r="H42" s="9">
        <v>46497.55</v>
      </c>
      <c r="I42" s="9">
        <v>82</v>
      </c>
      <c r="J42" s="9">
        <v>2788</v>
      </c>
      <c r="K42" s="9">
        <v>51860</v>
      </c>
      <c r="L42" s="9">
        <v>1035</v>
      </c>
      <c r="M42" s="9">
        <v>35190</v>
      </c>
      <c r="N42" s="9">
        <v>48260</v>
      </c>
      <c r="O42" s="9">
        <v>1232</v>
      </c>
      <c r="P42" s="9">
        <v>41888</v>
      </c>
      <c r="Q42" s="9">
        <v>44660</v>
      </c>
      <c r="R42" s="8"/>
    </row>
    <row r="43" spans="1:18">
      <c r="A43" s="1">
        <v>35</v>
      </c>
      <c r="B43" s="1">
        <v>45500</v>
      </c>
      <c r="C43" s="9">
        <v>11453</v>
      </c>
      <c r="D43" s="9">
        <v>400855</v>
      </c>
      <c r="E43" s="9">
        <v>45499.09</v>
      </c>
      <c r="F43" s="9">
        <v>2362</v>
      </c>
      <c r="G43" s="9">
        <v>82670</v>
      </c>
      <c r="H43" s="9">
        <v>47383.59</v>
      </c>
      <c r="I43" s="9">
        <v>94</v>
      </c>
      <c r="J43" s="9">
        <v>3290</v>
      </c>
      <c r="K43" s="9">
        <v>52700</v>
      </c>
      <c r="L43" s="9">
        <v>1049</v>
      </c>
      <c r="M43" s="9">
        <v>36715</v>
      </c>
      <c r="N43" s="9">
        <v>49098.41</v>
      </c>
      <c r="O43" s="9">
        <v>1219</v>
      </c>
      <c r="P43" s="9">
        <v>42665</v>
      </c>
      <c r="Q43" s="9">
        <v>45497.96</v>
      </c>
      <c r="R43" s="8"/>
    </row>
    <row r="44" spans="1:18">
      <c r="A44" s="1">
        <v>36</v>
      </c>
      <c r="B44" s="1">
        <v>46350</v>
      </c>
      <c r="C44" s="9">
        <v>10535</v>
      </c>
      <c r="D44" s="9">
        <v>379260</v>
      </c>
      <c r="E44" s="9">
        <v>46349.55</v>
      </c>
      <c r="F44" s="9">
        <v>2172</v>
      </c>
      <c r="G44" s="9">
        <v>78192</v>
      </c>
      <c r="H44" s="9">
        <v>48266.51</v>
      </c>
      <c r="I44" s="9">
        <v>92</v>
      </c>
      <c r="J44" s="9">
        <v>3312</v>
      </c>
      <c r="K44" s="9">
        <v>53550</v>
      </c>
      <c r="L44" s="9">
        <v>974</v>
      </c>
      <c r="M44" s="9">
        <v>35064</v>
      </c>
      <c r="N44" s="9">
        <v>49945.43</v>
      </c>
      <c r="O44" s="9">
        <v>1106</v>
      </c>
      <c r="P44" s="9">
        <v>39816</v>
      </c>
      <c r="Q44" s="9">
        <v>46348.47</v>
      </c>
      <c r="R44" s="8"/>
    </row>
    <row r="45" spans="1:18">
      <c r="A45" s="1">
        <v>37</v>
      </c>
      <c r="B45" s="1">
        <v>47210</v>
      </c>
      <c r="C45" s="9">
        <v>9517</v>
      </c>
      <c r="D45" s="9">
        <v>352129</v>
      </c>
      <c r="E45" s="9">
        <v>47210.52</v>
      </c>
      <c r="F45" s="9">
        <v>2117</v>
      </c>
      <c r="G45" s="9">
        <v>78329</v>
      </c>
      <c r="H45" s="9">
        <v>49123.97</v>
      </c>
      <c r="I45" s="9">
        <v>86</v>
      </c>
      <c r="J45" s="9">
        <v>3182</v>
      </c>
      <c r="K45" s="9">
        <v>54410</v>
      </c>
      <c r="L45" s="9">
        <v>954</v>
      </c>
      <c r="M45" s="9">
        <v>35298</v>
      </c>
      <c r="N45" s="9">
        <v>50809.1</v>
      </c>
      <c r="O45" s="9">
        <v>1077</v>
      </c>
      <c r="P45" s="9">
        <v>39849</v>
      </c>
      <c r="Q45" s="9">
        <v>47209.2</v>
      </c>
      <c r="R45" s="8"/>
    </row>
    <row r="46" spans="1:18">
      <c r="A46" s="1">
        <v>38</v>
      </c>
      <c r="B46" s="1">
        <v>48080</v>
      </c>
      <c r="C46" s="9">
        <v>8975</v>
      </c>
      <c r="D46" s="9">
        <v>341050</v>
      </c>
      <c r="E46" s="9">
        <v>48079.71</v>
      </c>
      <c r="F46" s="9">
        <v>1999</v>
      </c>
      <c r="G46" s="9">
        <v>75962</v>
      </c>
      <c r="H46" s="9">
        <v>49911.08</v>
      </c>
      <c r="I46" s="9">
        <v>89</v>
      </c>
      <c r="J46" s="9">
        <v>3382</v>
      </c>
      <c r="K46" s="9">
        <v>55280</v>
      </c>
      <c r="L46" s="9">
        <v>839</v>
      </c>
      <c r="M46" s="9">
        <v>31882</v>
      </c>
      <c r="N46" s="9">
        <v>51680</v>
      </c>
      <c r="O46" s="9">
        <v>1071</v>
      </c>
      <c r="P46" s="9">
        <v>40698</v>
      </c>
      <c r="Q46" s="9">
        <v>48079.19</v>
      </c>
      <c r="R46" s="8"/>
    </row>
    <row r="47" spans="1:18">
      <c r="A47" s="1">
        <v>39</v>
      </c>
      <c r="B47" s="1">
        <v>48960</v>
      </c>
      <c r="C47" s="9">
        <v>8601</v>
      </c>
      <c r="D47" s="9">
        <v>335439</v>
      </c>
      <c r="E47" s="9">
        <v>48960.1</v>
      </c>
      <c r="F47" s="9">
        <v>1901</v>
      </c>
      <c r="G47" s="9">
        <v>74139</v>
      </c>
      <c r="H47" s="9">
        <v>50824.41</v>
      </c>
      <c r="I47" s="9">
        <v>68</v>
      </c>
      <c r="J47" s="9">
        <v>2652</v>
      </c>
      <c r="K47" s="9">
        <v>56160</v>
      </c>
      <c r="L47" s="9">
        <v>849</v>
      </c>
      <c r="M47" s="9">
        <v>33111</v>
      </c>
      <c r="N47" s="9">
        <v>52560</v>
      </c>
      <c r="O47" s="9">
        <v>984</v>
      </c>
      <c r="P47" s="9">
        <v>38376</v>
      </c>
      <c r="Q47" s="9">
        <v>48958.22</v>
      </c>
      <c r="R47" s="8"/>
    </row>
    <row r="48" spans="1:18">
      <c r="A48" s="1">
        <v>40</v>
      </c>
      <c r="B48" s="1">
        <v>49850</v>
      </c>
      <c r="C48" s="9">
        <v>8506</v>
      </c>
      <c r="D48" s="9">
        <v>340240</v>
      </c>
      <c r="E48" s="9">
        <v>49849.1</v>
      </c>
      <c r="F48" s="9">
        <v>1800</v>
      </c>
      <c r="G48" s="9">
        <v>72000</v>
      </c>
      <c r="H48" s="9">
        <v>51688.160000000003</v>
      </c>
      <c r="I48" s="9">
        <v>73</v>
      </c>
      <c r="J48" s="9">
        <v>2920</v>
      </c>
      <c r="K48" s="9">
        <v>56951.37</v>
      </c>
      <c r="L48" s="9">
        <v>775</v>
      </c>
      <c r="M48" s="9">
        <v>31000</v>
      </c>
      <c r="N48" s="9">
        <v>53450.36</v>
      </c>
      <c r="O48" s="9">
        <v>952</v>
      </c>
      <c r="P48" s="9">
        <v>38080</v>
      </c>
      <c r="Q48" s="9">
        <v>49850</v>
      </c>
      <c r="R48" s="8"/>
    </row>
    <row r="49" spans="1:18">
      <c r="A49" s="1">
        <v>41</v>
      </c>
      <c r="B49" s="1">
        <v>51000</v>
      </c>
      <c r="C49" s="9">
        <v>8224</v>
      </c>
      <c r="D49" s="9">
        <v>337184</v>
      </c>
      <c r="E49" s="9">
        <v>50999.17</v>
      </c>
      <c r="F49" s="9">
        <v>1691</v>
      </c>
      <c r="G49" s="9">
        <v>69331</v>
      </c>
      <c r="H49" s="9">
        <v>52877.71</v>
      </c>
      <c r="I49" s="9">
        <v>72</v>
      </c>
      <c r="J49" s="9">
        <v>2952</v>
      </c>
      <c r="K49" s="9">
        <v>58200</v>
      </c>
      <c r="L49" s="9">
        <v>738</v>
      </c>
      <c r="M49" s="9">
        <v>30258</v>
      </c>
      <c r="N49" s="9">
        <v>54600</v>
      </c>
      <c r="O49" s="9">
        <v>881</v>
      </c>
      <c r="P49" s="9">
        <v>36121</v>
      </c>
      <c r="Q49" s="9">
        <v>51000</v>
      </c>
      <c r="R49" s="8"/>
    </row>
    <row r="50" spans="1:18">
      <c r="A50" s="1">
        <v>42</v>
      </c>
      <c r="B50" s="1">
        <v>52170</v>
      </c>
      <c r="C50" s="9">
        <v>8090</v>
      </c>
      <c r="D50" s="9">
        <v>339780</v>
      </c>
      <c r="E50" s="9">
        <v>52168.74</v>
      </c>
      <c r="F50" s="9">
        <v>1676</v>
      </c>
      <c r="G50" s="9">
        <v>70392</v>
      </c>
      <c r="H50" s="9">
        <v>53978.59</v>
      </c>
      <c r="I50" s="9">
        <v>52</v>
      </c>
      <c r="J50" s="9">
        <v>2184</v>
      </c>
      <c r="K50" s="9">
        <v>59370</v>
      </c>
      <c r="L50" s="9">
        <v>738</v>
      </c>
      <c r="M50" s="9">
        <v>30996</v>
      </c>
      <c r="N50" s="9">
        <v>55770</v>
      </c>
      <c r="O50" s="9">
        <v>886</v>
      </c>
      <c r="P50" s="9">
        <v>37212</v>
      </c>
      <c r="Q50" s="9">
        <v>52170</v>
      </c>
      <c r="R50" s="8"/>
    </row>
    <row r="51" spans="1:18">
      <c r="A51" s="1">
        <v>43</v>
      </c>
      <c r="B51" s="1">
        <v>53360</v>
      </c>
      <c r="C51" s="9">
        <v>7992</v>
      </c>
      <c r="D51" s="9">
        <v>343656</v>
      </c>
      <c r="E51" s="9">
        <v>53359.55</v>
      </c>
      <c r="F51" s="9">
        <v>1582</v>
      </c>
      <c r="G51" s="9">
        <v>68026</v>
      </c>
      <c r="H51" s="9">
        <v>55185.8</v>
      </c>
      <c r="I51" s="9">
        <v>56</v>
      </c>
      <c r="J51" s="9">
        <v>2408</v>
      </c>
      <c r="K51" s="9">
        <v>60560</v>
      </c>
      <c r="L51" s="9">
        <v>690</v>
      </c>
      <c r="M51" s="9">
        <v>29670</v>
      </c>
      <c r="N51" s="9">
        <v>56961.75</v>
      </c>
      <c r="O51" s="9">
        <v>836</v>
      </c>
      <c r="P51" s="9">
        <v>35948</v>
      </c>
      <c r="Q51" s="9">
        <v>53360</v>
      </c>
      <c r="R51" s="8"/>
    </row>
    <row r="52" spans="1:18">
      <c r="A52" s="1">
        <v>44</v>
      </c>
      <c r="B52" s="1">
        <v>54570</v>
      </c>
      <c r="C52" s="9">
        <v>8352</v>
      </c>
      <c r="D52" s="9">
        <v>367488</v>
      </c>
      <c r="E52" s="9">
        <v>54569.57</v>
      </c>
      <c r="F52" s="9">
        <v>1551</v>
      </c>
      <c r="G52" s="9">
        <v>68244</v>
      </c>
      <c r="H52" s="9">
        <v>56426.879999999997</v>
      </c>
      <c r="I52" s="9">
        <v>66</v>
      </c>
      <c r="J52" s="9">
        <v>2904</v>
      </c>
      <c r="K52" s="9">
        <v>61770</v>
      </c>
      <c r="L52" s="9">
        <v>668</v>
      </c>
      <c r="M52" s="9">
        <v>29392</v>
      </c>
      <c r="N52" s="9">
        <v>58170</v>
      </c>
      <c r="O52" s="9">
        <v>817</v>
      </c>
      <c r="P52" s="9">
        <v>35948</v>
      </c>
      <c r="Q52" s="9">
        <v>54570.02</v>
      </c>
      <c r="R52" s="8"/>
    </row>
    <row r="53" spans="1:18">
      <c r="A53" s="1">
        <v>45</v>
      </c>
      <c r="B53" s="1">
        <v>55800</v>
      </c>
      <c r="C53" s="9">
        <v>8660</v>
      </c>
      <c r="D53" s="9">
        <v>389700</v>
      </c>
      <c r="E53" s="9">
        <v>55799.01</v>
      </c>
      <c r="F53" s="9">
        <v>1348</v>
      </c>
      <c r="G53" s="9">
        <v>60660</v>
      </c>
      <c r="H53" s="9">
        <v>57700.57</v>
      </c>
      <c r="I53" s="9">
        <v>58</v>
      </c>
      <c r="J53" s="9">
        <v>2610</v>
      </c>
      <c r="K53" s="9">
        <v>63000</v>
      </c>
      <c r="L53" s="9">
        <v>596</v>
      </c>
      <c r="M53" s="9">
        <v>26820</v>
      </c>
      <c r="N53" s="9">
        <v>59400</v>
      </c>
      <c r="O53" s="9">
        <v>694</v>
      </c>
      <c r="P53" s="9">
        <v>31230</v>
      </c>
      <c r="Q53" s="9">
        <v>55798.23</v>
      </c>
      <c r="R53" s="8"/>
    </row>
    <row r="54" spans="1:18">
      <c r="A54" s="1">
        <v>46</v>
      </c>
      <c r="B54" s="1">
        <v>57050</v>
      </c>
      <c r="C54" s="9">
        <v>8056</v>
      </c>
      <c r="D54" s="9">
        <v>370576</v>
      </c>
      <c r="E54" s="9">
        <v>57049.38</v>
      </c>
      <c r="F54" s="9">
        <v>1232</v>
      </c>
      <c r="G54" s="9">
        <v>56672</v>
      </c>
      <c r="H54" s="9">
        <v>58928.9</v>
      </c>
      <c r="I54" s="9">
        <v>47</v>
      </c>
      <c r="J54" s="9">
        <v>2162</v>
      </c>
      <c r="K54" s="9">
        <v>64250</v>
      </c>
      <c r="L54" s="9">
        <v>549</v>
      </c>
      <c r="M54" s="9">
        <v>25254</v>
      </c>
      <c r="N54" s="9">
        <v>60650</v>
      </c>
      <c r="O54" s="9">
        <v>636</v>
      </c>
      <c r="P54" s="9">
        <v>29256</v>
      </c>
      <c r="Q54" s="9">
        <v>57050</v>
      </c>
      <c r="R54" s="8"/>
    </row>
    <row r="55" spans="1:18">
      <c r="A55" s="1">
        <v>47</v>
      </c>
      <c r="B55" s="1">
        <v>58320</v>
      </c>
      <c r="C55" s="9">
        <v>7049</v>
      </c>
      <c r="D55" s="9">
        <v>331303</v>
      </c>
      <c r="E55" s="9">
        <v>58319.46</v>
      </c>
      <c r="F55" s="9">
        <v>1057</v>
      </c>
      <c r="G55" s="9">
        <v>49679</v>
      </c>
      <c r="H55" s="9">
        <v>60046.77</v>
      </c>
      <c r="I55" s="9">
        <v>29</v>
      </c>
      <c r="J55" s="9">
        <v>1363</v>
      </c>
      <c r="K55" s="9">
        <v>65520</v>
      </c>
      <c r="L55" s="9">
        <v>449</v>
      </c>
      <c r="M55" s="9">
        <v>21103</v>
      </c>
      <c r="N55" s="9">
        <v>61920</v>
      </c>
      <c r="O55" s="9">
        <v>579</v>
      </c>
      <c r="P55" s="9">
        <v>27213</v>
      </c>
      <c r="Q55" s="9">
        <v>58320</v>
      </c>
      <c r="R55" s="8"/>
    </row>
    <row r="56" spans="1:18">
      <c r="A56" s="1">
        <v>48</v>
      </c>
      <c r="B56" s="1">
        <v>59610</v>
      </c>
      <c r="C56" s="9">
        <v>5941</v>
      </c>
      <c r="D56" s="9">
        <v>285168</v>
      </c>
      <c r="E56" s="9">
        <v>59609.35</v>
      </c>
      <c r="F56" s="9">
        <v>840</v>
      </c>
      <c r="G56" s="9">
        <v>40320</v>
      </c>
      <c r="H56" s="9">
        <v>61447.040000000001</v>
      </c>
      <c r="I56" s="9">
        <v>36</v>
      </c>
      <c r="J56" s="9">
        <v>1728</v>
      </c>
      <c r="K56" s="9">
        <v>66810</v>
      </c>
      <c r="L56" s="9">
        <v>357</v>
      </c>
      <c r="M56" s="9">
        <v>17136</v>
      </c>
      <c r="N56" s="9">
        <v>63210</v>
      </c>
      <c r="O56" s="9">
        <v>447</v>
      </c>
      <c r="P56" s="9">
        <v>21456</v>
      </c>
      <c r="Q56" s="9">
        <v>59607.11</v>
      </c>
      <c r="R56" s="8"/>
    </row>
    <row r="57" spans="1:18">
      <c r="A57" s="1">
        <v>49</v>
      </c>
      <c r="B57" s="1">
        <v>60920</v>
      </c>
      <c r="C57" s="9">
        <v>5036</v>
      </c>
      <c r="D57" s="9">
        <v>246764</v>
      </c>
      <c r="E57" s="9">
        <v>60919.24</v>
      </c>
      <c r="F57" s="9">
        <v>725</v>
      </c>
      <c r="G57" s="9">
        <v>35525</v>
      </c>
      <c r="H57" s="9">
        <v>62896.28</v>
      </c>
      <c r="I57" s="9">
        <v>27</v>
      </c>
      <c r="J57" s="9">
        <v>1323</v>
      </c>
      <c r="K57" s="9">
        <v>68120</v>
      </c>
      <c r="L57" s="9">
        <v>344</v>
      </c>
      <c r="M57" s="9">
        <v>16856</v>
      </c>
      <c r="N57" s="9">
        <v>64520</v>
      </c>
      <c r="O57" s="9">
        <v>354</v>
      </c>
      <c r="P57" s="9">
        <v>17346</v>
      </c>
      <c r="Q57" s="9">
        <v>60920</v>
      </c>
      <c r="R57" s="8"/>
    </row>
    <row r="58" spans="1:18">
      <c r="A58" s="1">
        <v>50</v>
      </c>
      <c r="B58" s="1">
        <v>62250</v>
      </c>
      <c r="C58" s="9">
        <v>4260</v>
      </c>
      <c r="D58" s="9">
        <v>213000</v>
      </c>
      <c r="E58" s="9">
        <v>62250</v>
      </c>
      <c r="F58" s="9">
        <v>620</v>
      </c>
      <c r="G58" s="9">
        <v>31000</v>
      </c>
      <c r="H58" s="9">
        <v>64389.85</v>
      </c>
      <c r="I58" s="9">
        <v>26</v>
      </c>
      <c r="J58" s="9">
        <v>1300</v>
      </c>
      <c r="K58" s="9">
        <v>69450</v>
      </c>
      <c r="L58" s="9">
        <v>319</v>
      </c>
      <c r="M58" s="9">
        <v>15950</v>
      </c>
      <c r="N58" s="9">
        <v>65822.13</v>
      </c>
      <c r="O58" s="9">
        <v>275</v>
      </c>
      <c r="P58" s="9">
        <v>13750</v>
      </c>
      <c r="Q58" s="9">
        <v>62250</v>
      </c>
      <c r="R58" s="8"/>
    </row>
    <row r="59" spans="1:18">
      <c r="A59" s="1">
        <v>51</v>
      </c>
      <c r="B59" s="1">
        <v>63600</v>
      </c>
      <c r="C59" s="9">
        <v>3476</v>
      </c>
      <c r="D59" s="9">
        <v>177276</v>
      </c>
      <c r="E59" s="9">
        <v>63598.85</v>
      </c>
      <c r="F59" s="9">
        <v>497</v>
      </c>
      <c r="G59" s="9">
        <v>25347</v>
      </c>
      <c r="H59" s="9">
        <v>65845.47</v>
      </c>
      <c r="I59" s="9">
        <v>23</v>
      </c>
      <c r="J59" s="9">
        <v>1173</v>
      </c>
      <c r="K59" s="9">
        <v>70800</v>
      </c>
      <c r="L59" s="9">
        <v>264</v>
      </c>
      <c r="M59" s="9">
        <v>13464</v>
      </c>
      <c r="N59" s="9">
        <v>67200</v>
      </c>
      <c r="O59" s="9">
        <v>210</v>
      </c>
      <c r="P59" s="9">
        <v>10710</v>
      </c>
      <c r="Q59" s="9">
        <v>63600</v>
      </c>
      <c r="R59" s="8"/>
    </row>
    <row r="60" spans="1:18">
      <c r="A60" s="1">
        <v>52</v>
      </c>
      <c r="B60" s="1">
        <v>64970</v>
      </c>
      <c r="C60" s="9">
        <v>2919</v>
      </c>
      <c r="D60" s="9">
        <v>151788</v>
      </c>
      <c r="E60" s="9">
        <v>64969.06</v>
      </c>
      <c r="F60" s="9">
        <v>441</v>
      </c>
      <c r="G60" s="9">
        <v>22932</v>
      </c>
      <c r="H60" s="9">
        <v>67198.570000000007</v>
      </c>
      <c r="I60" s="9">
        <v>18</v>
      </c>
      <c r="J60" s="9">
        <v>936</v>
      </c>
      <c r="K60" s="9">
        <v>72170</v>
      </c>
      <c r="L60" s="9">
        <v>237</v>
      </c>
      <c r="M60" s="9">
        <v>12324</v>
      </c>
      <c r="N60" s="9">
        <v>68570</v>
      </c>
      <c r="O60" s="9">
        <v>186</v>
      </c>
      <c r="P60" s="9">
        <v>9672</v>
      </c>
      <c r="Q60" s="9">
        <v>64970</v>
      </c>
      <c r="R60" s="8"/>
    </row>
    <row r="61" spans="1:18">
      <c r="A61" s="1">
        <v>53</v>
      </c>
      <c r="B61" s="1">
        <v>66360</v>
      </c>
      <c r="C61" s="9">
        <v>2315</v>
      </c>
      <c r="D61" s="9">
        <v>122695</v>
      </c>
      <c r="E61" s="9">
        <v>66360.009999999995</v>
      </c>
      <c r="F61" s="9">
        <v>291</v>
      </c>
      <c r="G61" s="9">
        <v>15423</v>
      </c>
      <c r="H61" s="9">
        <v>68834.23</v>
      </c>
      <c r="I61" s="9">
        <v>9</v>
      </c>
      <c r="J61" s="9">
        <v>477</v>
      </c>
      <c r="K61" s="9">
        <v>73560</v>
      </c>
      <c r="L61" s="9">
        <v>182</v>
      </c>
      <c r="M61" s="9">
        <v>9646</v>
      </c>
      <c r="N61" s="9">
        <v>69960</v>
      </c>
      <c r="O61" s="9">
        <v>100</v>
      </c>
      <c r="P61" s="9">
        <v>5300</v>
      </c>
      <c r="Q61" s="9">
        <v>66360</v>
      </c>
      <c r="R61" s="8"/>
    </row>
    <row r="62" spans="1:18">
      <c r="A62" s="1">
        <v>54</v>
      </c>
      <c r="B62" s="1">
        <v>67770</v>
      </c>
      <c r="C62" s="9">
        <v>1941</v>
      </c>
      <c r="D62" s="9">
        <v>104814</v>
      </c>
      <c r="E62" s="9">
        <v>67768.55</v>
      </c>
      <c r="F62" s="9">
        <v>257</v>
      </c>
      <c r="G62" s="9">
        <v>13878</v>
      </c>
      <c r="H62" s="9">
        <v>70308.52</v>
      </c>
      <c r="I62" s="9">
        <v>15</v>
      </c>
      <c r="J62" s="9">
        <v>810</v>
      </c>
      <c r="K62" s="9">
        <v>74970</v>
      </c>
      <c r="L62" s="9">
        <v>152</v>
      </c>
      <c r="M62" s="9">
        <v>8208</v>
      </c>
      <c r="N62" s="9">
        <v>71370</v>
      </c>
      <c r="O62" s="9">
        <v>90</v>
      </c>
      <c r="P62" s="9">
        <v>4860</v>
      </c>
      <c r="Q62" s="9">
        <v>67738.89</v>
      </c>
      <c r="R62" s="8"/>
    </row>
    <row r="63" spans="1:18">
      <c r="A63" s="1">
        <v>55</v>
      </c>
      <c r="B63" s="1">
        <v>69200</v>
      </c>
      <c r="C63" s="9">
        <v>1377</v>
      </c>
      <c r="D63" s="9">
        <v>75735</v>
      </c>
      <c r="E63" s="9">
        <v>69200</v>
      </c>
      <c r="F63" s="9">
        <v>189</v>
      </c>
      <c r="G63" s="9">
        <v>10395</v>
      </c>
      <c r="H63" s="9">
        <v>72046.14</v>
      </c>
      <c r="I63" s="9">
        <v>8</v>
      </c>
      <c r="J63" s="9">
        <v>440</v>
      </c>
      <c r="K63" s="9">
        <v>76045</v>
      </c>
      <c r="L63" s="9">
        <v>135</v>
      </c>
      <c r="M63" s="9">
        <v>7425</v>
      </c>
      <c r="N63" s="9">
        <v>72778.960000000006</v>
      </c>
      <c r="O63" s="9">
        <v>46</v>
      </c>
      <c r="P63" s="9">
        <v>2530</v>
      </c>
      <c r="Q63" s="9">
        <v>69200</v>
      </c>
      <c r="R63" s="8"/>
    </row>
    <row r="64" spans="1:18">
      <c r="A64" s="1">
        <v>56</v>
      </c>
      <c r="B64" s="1">
        <v>70650</v>
      </c>
      <c r="C64" s="9">
        <v>1157</v>
      </c>
      <c r="D64" s="9">
        <v>64792</v>
      </c>
      <c r="E64" s="9">
        <v>70651.27</v>
      </c>
      <c r="F64" s="9">
        <v>166</v>
      </c>
      <c r="G64" s="9">
        <v>9296</v>
      </c>
      <c r="H64" s="9">
        <v>73729.52</v>
      </c>
      <c r="I64" s="9">
        <v>16</v>
      </c>
      <c r="J64" s="9">
        <v>896</v>
      </c>
      <c r="K64" s="9">
        <v>77850</v>
      </c>
      <c r="L64" s="9">
        <v>110</v>
      </c>
      <c r="M64" s="9">
        <v>6160</v>
      </c>
      <c r="N64" s="9">
        <v>74250</v>
      </c>
      <c r="O64" s="9">
        <v>40</v>
      </c>
      <c r="P64" s="9">
        <v>2240</v>
      </c>
      <c r="Q64" s="9">
        <v>70650</v>
      </c>
      <c r="R64" s="8"/>
    </row>
    <row r="65" spans="1:18">
      <c r="A65" s="1">
        <v>57</v>
      </c>
      <c r="B65" s="1">
        <v>72120</v>
      </c>
      <c r="C65" s="9">
        <v>997</v>
      </c>
      <c r="D65" s="9">
        <v>56829</v>
      </c>
      <c r="E65" s="9">
        <v>72120</v>
      </c>
      <c r="F65" s="9">
        <v>125</v>
      </c>
      <c r="G65" s="9">
        <v>7125</v>
      </c>
      <c r="H65" s="9">
        <v>75316.800000000003</v>
      </c>
      <c r="I65" s="9">
        <v>12</v>
      </c>
      <c r="J65" s="9">
        <v>684</v>
      </c>
      <c r="K65" s="9">
        <v>79320</v>
      </c>
      <c r="L65" s="9">
        <v>87</v>
      </c>
      <c r="M65" s="9">
        <v>4959</v>
      </c>
      <c r="N65" s="9">
        <v>75720</v>
      </c>
      <c r="O65" s="9">
        <v>26</v>
      </c>
      <c r="P65" s="9">
        <v>1482</v>
      </c>
      <c r="Q65" s="9">
        <v>72120</v>
      </c>
      <c r="R65" s="8"/>
    </row>
    <row r="66" spans="1:18">
      <c r="A66" s="1">
        <v>58</v>
      </c>
      <c r="B66" s="1">
        <v>73610</v>
      </c>
      <c r="C66" s="9">
        <v>694</v>
      </c>
      <c r="D66" s="9">
        <v>40252</v>
      </c>
      <c r="E66" s="9">
        <v>73605.710000000006</v>
      </c>
      <c r="F66" s="9">
        <v>77</v>
      </c>
      <c r="G66" s="9">
        <v>4466</v>
      </c>
      <c r="H66" s="9">
        <v>76508.7</v>
      </c>
      <c r="I66" s="9">
        <v>3</v>
      </c>
      <c r="J66" s="9">
        <v>174</v>
      </c>
      <c r="K66" s="9">
        <v>80810</v>
      </c>
      <c r="L66" s="9">
        <v>56</v>
      </c>
      <c r="M66" s="9">
        <v>3248</v>
      </c>
      <c r="N66" s="9">
        <v>77210</v>
      </c>
      <c r="O66" s="9">
        <v>18</v>
      </c>
      <c r="P66" s="9">
        <v>1044</v>
      </c>
      <c r="Q66" s="9">
        <v>73610</v>
      </c>
      <c r="R66" s="8"/>
    </row>
    <row r="67" spans="1:18">
      <c r="A67" s="1">
        <v>59</v>
      </c>
      <c r="B67" s="1">
        <v>75120</v>
      </c>
      <c r="C67" s="9">
        <v>629</v>
      </c>
      <c r="D67" s="9">
        <v>37111</v>
      </c>
      <c r="E67" s="9">
        <v>75129.95</v>
      </c>
      <c r="F67" s="9">
        <v>75</v>
      </c>
      <c r="G67" s="9">
        <v>4425</v>
      </c>
      <c r="H67" s="9">
        <v>78000</v>
      </c>
      <c r="I67" s="9">
        <v>1</v>
      </c>
      <c r="J67" s="9">
        <v>59</v>
      </c>
      <c r="K67" s="9">
        <v>82320</v>
      </c>
      <c r="L67" s="9">
        <v>58</v>
      </c>
      <c r="M67" s="9">
        <v>3422</v>
      </c>
      <c r="N67" s="9">
        <v>78720</v>
      </c>
      <c r="O67" s="9">
        <v>16</v>
      </c>
      <c r="P67" s="9">
        <v>944</v>
      </c>
      <c r="Q67" s="9">
        <v>75120</v>
      </c>
      <c r="R67" s="8"/>
    </row>
    <row r="68" spans="1:18">
      <c r="A68" s="1">
        <v>60</v>
      </c>
      <c r="B68" s="1">
        <v>76650</v>
      </c>
      <c r="C68" s="9">
        <v>550</v>
      </c>
      <c r="D68" s="9">
        <v>33000</v>
      </c>
      <c r="E68" s="9">
        <v>76650</v>
      </c>
      <c r="F68" s="9">
        <v>68</v>
      </c>
      <c r="G68" s="9">
        <v>4080</v>
      </c>
      <c r="H68" s="9">
        <v>80038.240000000005</v>
      </c>
      <c r="I68" s="9">
        <v>1</v>
      </c>
      <c r="J68" s="9">
        <v>60</v>
      </c>
      <c r="K68" s="9">
        <v>83850</v>
      </c>
      <c r="L68" s="9">
        <v>62</v>
      </c>
      <c r="M68" s="9">
        <v>3720</v>
      </c>
      <c r="N68" s="9">
        <v>80250</v>
      </c>
      <c r="O68" s="9">
        <v>5</v>
      </c>
      <c r="P68" s="9">
        <v>300</v>
      </c>
      <c r="Q68" s="9">
        <v>76650</v>
      </c>
      <c r="R68" s="8"/>
    </row>
    <row r="69" spans="1:18">
      <c r="A69" s="1">
        <v>61</v>
      </c>
      <c r="B69" s="1">
        <v>78200</v>
      </c>
      <c r="C69" s="9">
        <v>451</v>
      </c>
      <c r="D69" s="9">
        <v>27511</v>
      </c>
      <c r="E69" s="9">
        <v>78200</v>
      </c>
      <c r="F69" s="9">
        <v>50</v>
      </c>
      <c r="G69" s="9">
        <v>3050</v>
      </c>
      <c r="H69" s="9">
        <v>81872</v>
      </c>
      <c r="I69" s="9">
        <v>5</v>
      </c>
      <c r="J69" s="9">
        <v>305</v>
      </c>
      <c r="K69" s="9">
        <v>85400</v>
      </c>
      <c r="L69" s="9">
        <v>41</v>
      </c>
      <c r="M69" s="9">
        <v>2501</v>
      </c>
      <c r="N69" s="9">
        <v>81800</v>
      </c>
      <c r="O69" s="9">
        <v>4</v>
      </c>
      <c r="P69" s="9">
        <v>244</v>
      </c>
      <c r="Q69" s="9">
        <v>78200</v>
      </c>
      <c r="R69" s="8"/>
    </row>
    <row r="70" spans="1:18">
      <c r="A70" s="1">
        <v>62</v>
      </c>
      <c r="B70" s="1">
        <v>79770</v>
      </c>
      <c r="C70" s="9">
        <v>368</v>
      </c>
      <c r="D70" s="9">
        <v>22816</v>
      </c>
      <c r="E70" s="9">
        <v>79770</v>
      </c>
      <c r="F70" s="9">
        <v>51</v>
      </c>
      <c r="G70" s="9">
        <v>3162</v>
      </c>
      <c r="H70" s="9">
        <v>83087.649999999994</v>
      </c>
      <c r="I70" s="9">
        <v>3</v>
      </c>
      <c r="J70" s="9">
        <v>186</v>
      </c>
      <c r="K70" s="9">
        <v>86970</v>
      </c>
      <c r="L70" s="9">
        <v>41</v>
      </c>
      <c r="M70" s="9">
        <v>2542</v>
      </c>
      <c r="N70" s="9">
        <v>83370</v>
      </c>
      <c r="O70" s="9">
        <v>7</v>
      </c>
      <c r="P70" s="9">
        <v>434</v>
      </c>
      <c r="Q70" s="9">
        <v>79770</v>
      </c>
      <c r="R70" s="8"/>
    </row>
    <row r="71" spans="1:18">
      <c r="A71" s="1">
        <v>63</v>
      </c>
      <c r="B71" s="1">
        <v>81360</v>
      </c>
      <c r="C71" s="9">
        <v>263</v>
      </c>
      <c r="D71" s="9">
        <v>16569</v>
      </c>
      <c r="E71" s="9">
        <v>81360</v>
      </c>
      <c r="F71" s="9">
        <v>38</v>
      </c>
      <c r="G71" s="9">
        <v>2394</v>
      </c>
      <c r="H71" s="9">
        <v>84770.53</v>
      </c>
      <c r="I71" s="9">
        <v>3</v>
      </c>
      <c r="J71" s="9">
        <v>189</v>
      </c>
      <c r="K71" s="9">
        <v>88560</v>
      </c>
      <c r="L71" s="9">
        <v>30</v>
      </c>
      <c r="M71" s="9">
        <v>1890</v>
      </c>
      <c r="N71" s="9">
        <v>84960</v>
      </c>
      <c r="O71" s="9">
        <v>5</v>
      </c>
      <c r="P71" s="9">
        <v>315</v>
      </c>
      <c r="Q71" s="9">
        <v>81360</v>
      </c>
      <c r="R71" s="8"/>
    </row>
    <row r="72" spans="1:18">
      <c r="A72" s="1">
        <v>64</v>
      </c>
      <c r="B72" s="1">
        <v>82970</v>
      </c>
      <c r="C72" s="9">
        <v>211</v>
      </c>
      <c r="D72" s="9">
        <v>13504</v>
      </c>
      <c r="E72" s="9">
        <v>82970</v>
      </c>
      <c r="F72" s="9">
        <v>24</v>
      </c>
      <c r="G72" s="9">
        <v>1536</v>
      </c>
      <c r="H72" s="9">
        <v>86720</v>
      </c>
      <c r="I72" s="9">
        <v>1</v>
      </c>
      <c r="J72" s="9">
        <v>64</v>
      </c>
      <c r="K72" s="9">
        <v>90170</v>
      </c>
      <c r="L72" s="9">
        <v>23</v>
      </c>
      <c r="M72" s="9">
        <v>1472</v>
      </c>
      <c r="N72" s="9">
        <v>86570</v>
      </c>
      <c r="O72" s="9"/>
      <c r="P72" s="9"/>
      <c r="Q72" s="9"/>
      <c r="R72" s="8"/>
    </row>
    <row r="73" spans="1:18">
      <c r="A73" s="1">
        <v>65</v>
      </c>
      <c r="B73" s="1">
        <v>84600</v>
      </c>
      <c r="C73" s="9">
        <v>164</v>
      </c>
      <c r="D73" s="9">
        <v>10660</v>
      </c>
      <c r="E73" s="9">
        <v>84600</v>
      </c>
      <c r="F73" s="9">
        <v>24</v>
      </c>
      <c r="G73" s="9">
        <v>1560</v>
      </c>
      <c r="H73" s="9">
        <v>88500</v>
      </c>
      <c r="I73" s="9">
        <v>2</v>
      </c>
      <c r="J73" s="9">
        <v>130</v>
      </c>
      <c r="K73" s="9">
        <v>91800</v>
      </c>
      <c r="L73" s="9">
        <v>22</v>
      </c>
      <c r="M73" s="9">
        <v>1430</v>
      </c>
      <c r="N73" s="9">
        <v>88200</v>
      </c>
      <c r="O73" s="9"/>
      <c r="P73" s="9"/>
      <c r="Q73" s="9"/>
      <c r="R73" s="8"/>
    </row>
    <row r="74" spans="1:18">
      <c r="A74" s="1">
        <v>66</v>
      </c>
      <c r="B74" s="1">
        <v>86250</v>
      </c>
      <c r="C74" s="9">
        <v>119</v>
      </c>
      <c r="D74" s="9">
        <v>7854</v>
      </c>
      <c r="E74" s="9">
        <v>86250</v>
      </c>
      <c r="F74" s="9">
        <v>15</v>
      </c>
      <c r="G74" s="9">
        <v>990</v>
      </c>
      <c r="H74" s="9">
        <v>89370</v>
      </c>
      <c r="I74" s="9">
        <v>2</v>
      </c>
      <c r="J74" s="9">
        <v>132</v>
      </c>
      <c r="K74" s="9">
        <v>93450</v>
      </c>
      <c r="L74" s="9">
        <v>9</v>
      </c>
      <c r="M74" s="9">
        <v>594</v>
      </c>
      <c r="N74" s="9">
        <v>89850</v>
      </c>
      <c r="O74" s="9">
        <v>4</v>
      </c>
      <c r="P74" s="9">
        <v>264</v>
      </c>
      <c r="Q74" s="9">
        <v>86250</v>
      </c>
      <c r="R74" s="8"/>
    </row>
    <row r="75" spans="1:18">
      <c r="A75" s="1">
        <v>67</v>
      </c>
      <c r="B75" s="1">
        <v>87920</v>
      </c>
      <c r="C75" s="9">
        <v>79</v>
      </c>
      <c r="D75" s="9">
        <v>5293</v>
      </c>
      <c r="E75" s="9">
        <v>87920</v>
      </c>
      <c r="F75" s="9">
        <v>9</v>
      </c>
      <c r="G75" s="9">
        <v>603</v>
      </c>
      <c r="H75" s="9">
        <v>91520</v>
      </c>
      <c r="I75" s="9"/>
      <c r="J75" s="9"/>
      <c r="K75" s="9"/>
      <c r="L75" s="9">
        <v>9</v>
      </c>
      <c r="M75" s="9">
        <v>603</v>
      </c>
      <c r="N75" s="9">
        <v>91520</v>
      </c>
      <c r="O75" s="9"/>
      <c r="P75" s="9"/>
      <c r="Q75" s="9"/>
      <c r="R75" s="8"/>
    </row>
    <row r="76" spans="1:18">
      <c r="A76" s="1">
        <v>68</v>
      </c>
      <c r="B76" s="1">
        <v>89610</v>
      </c>
      <c r="C76" s="9">
        <v>69</v>
      </c>
      <c r="D76" s="9">
        <v>4692</v>
      </c>
      <c r="E76" s="9">
        <v>89610</v>
      </c>
      <c r="F76" s="9">
        <v>5</v>
      </c>
      <c r="G76" s="9">
        <v>340</v>
      </c>
      <c r="H76" s="9">
        <v>93210</v>
      </c>
      <c r="I76" s="9"/>
      <c r="J76" s="9"/>
      <c r="K76" s="9"/>
      <c r="L76" s="9">
        <v>5</v>
      </c>
      <c r="M76" s="9">
        <v>340</v>
      </c>
      <c r="N76" s="9">
        <v>93210</v>
      </c>
      <c r="O76" s="9"/>
      <c r="P76" s="9"/>
      <c r="Q76" s="9"/>
      <c r="R76" s="8"/>
    </row>
    <row r="77" spans="1:18">
      <c r="A77" s="1">
        <v>69</v>
      </c>
      <c r="B77" s="1">
        <v>91320</v>
      </c>
      <c r="C77" s="9">
        <v>51</v>
      </c>
      <c r="D77" s="9">
        <v>3519</v>
      </c>
      <c r="E77" s="9">
        <v>91320</v>
      </c>
      <c r="F77" s="9">
        <v>4</v>
      </c>
      <c r="G77" s="9">
        <v>276</v>
      </c>
      <c r="H77" s="9">
        <v>95820</v>
      </c>
      <c r="I77" s="9">
        <v>1</v>
      </c>
      <c r="J77" s="9">
        <v>69</v>
      </c>
      <c r="K77" s="9">
        <v>98520</v>
      </c>
      <c r="L77" s="9">
        <v>3</v>
      </c>
      <c r="M77" s="9">
        <v>207</v>
      </c>
      <c r="N77" s="9">
        <v>94920</v>
      </c>
      <c r="O77" s="9"/>
      <c r="P77" s="9"/>
      <c r="Q77" s="9"/>
      <c r="R77" s="8"/>
    </row>
    <row r="78" spans="1:18">
      <c r="A78" s="1">
        <v>70</v>
      </c>
      <c r="B78" s="1">
        <v>93050</v>
      </c>
      <c r="C78" s="9">
        <v>44</v>
      </c>
      <c r="D78" s="9">
        <v>3080</v>
      </c>
      <c r="E78" s="9">
        <v>93050</v>
      </c>
      <c r="F78" s="9">
        <v>8</v>
      </c>
      <c r="G78" s="9">
        <v>560</v>
      </c>
      <c r="H78" s="9">
        <v>97100</v>
      </c>
      <c r="I78" s="9">
        <v>1</v>
      </c>
      <c r="J78" s="9">
        <v>70</v>
      </c>
      <c r="K78" s="9">
        <v>100250</v>
      </c>
      <c r="L78" s="9">
        <v>7</v>
      </c>
      <c r="M78" s="9">
        <v>490</v>
      </c>
      <c r="N78" s="9">
        <v>96650</v>
      </c>
      <c r="O78" s="9"/>
      <c r="P78" s="9"/>
      <c r="Q78" s="9"/>
      <c r="R78" s="8"/>
    </row>
    <row r="79" spans="1:18">
      <c r="A79" s="1">
        <v>71</v>
      </c>
      <c r="B79" s="1">
        <v>94800</v>
      </c>
      <c r="C79" s="9">
        <v>26</v>
      </c>
      <c r="D79" s="9">
        <v>1846</v>
      </c>
      <c r="E79" s="9">
        <v>94541.54</v>
      </c>
      <c r="F79" s="9">
        <v>3</v>
      </c>
      <c r="G79" s="9">
        <v>213</v>
      </c>
      <c r="H79" s="9">
        <v>98400</v>
      </c>
      <c r="I79" s="9"/>
      <c r="J79" s="9"/>
      <c r="K79" s="9"/>
      <c r="L79" s="9">
        <v>3</v>
      </c>
      <c r="M79" s="9">
        <v>213</v>
      </c>
      <c r="N79" s="9">
        <v>98400</v>
      </c>
      <c r="O79" s="9"/>
      <c r="P79" s="9"/>
      <c r="Q79" s="9"/>
      <c r="R79" s="8"/>
    </row>
    <row r="80" spans="1:18">
      <c r="A80" s="1">
        <v>72</v>
      </c>
      <c r="B80" s="1">
        <v>96570</v>
      </c>
      <c r="C80" s="9">
        <v>27</v>
      </c>
      <c r="D80" s="9">
        <v>1944</v>
      </c>
      <c r="E80" s="9">
        <v>96570</v>
      </c>
      <c r="F80" s="9">
        <v>2</v>
      </c>
      <c r="G80" s="9">
        <v>144</v>
      </c>
      <c r="H80" s="9">
        <v>101970</v>
      </c>
      <c r="I80" s="9">
        <v>1</v>
      </c>
      <c r="J80" s="9">
        <v>72</v>
      </c>
      <c r="K80" s="9">
        <v>103770</v>
      </c>
      <c r="L80" s="9">
        <v>1</v>
      </c>
      <c r="M80" s="9">
        <v>72</v>
      </c>
      <c r="N80" s="9">
        <v>100170</v>
      </c>
      <c r="O80" s="9"/>
      <c r="P80" s="9"/>
      <c r="Q80" s="9"/>
      <c r="R80" s="8"/>
    </row>
    <row r="81" spans="1:18">
      <c r="A81" s="1">
        <v>73</v>
      </c>
      <c r="B81" s="1">
        <v>98360</v>
      </c>
      <c r="C81" s="9">
        <v>25</v>
      </c>
      <c r="D81" s="9">
        <v>1825</v>
      </c>
      <c r="E81" s="9">
        <v>98360</v>
      </c>
      <c r="F81" s="9">
        <v>1</v>
      </c>
      <c r="G81" s="9">
        <v>73</v>
      </c>
      <c r="H81" s="9">
        <v>101960</v>
      </c>
      <c r="I81" s="9"/>
      <c r="J81" s="9"/>
      <c r="K81" s="9"/>
      <c r="L81" s="9">
        <v>1</v>
      </c>
      <c r="M81" s="9">
        <v>73</v>
      </c>
      <c r="N81" s="9">
        <v>101960</v>
      </c>
      <c r="O81" s="9"/>
      <c r="P81" s="9"/>
      <c r="Q81" s="9"/>
      <c r="R81" s="8"/>
    </row>
    <row r="82" spans="1:18">
      <c r="A82" s="1">
        <v>74</v>
      </c>
      <c r="B82" s="1">
        <v>100170</v>
      </c>
      <c r="C82" s="9">
        <v>12</v>
      </c>
      <c r="D82" s="9">
        <v>888</v>
      </c>
      <c r="E82" s="9">
        <v>100170</v>
      </c>
      <c r="F82" s="9">
        <v>2</v>
      </c>
      <c r="G82" s="9">
        <v>148</v>
      </c>
      <c r="H82" s="9">
        <v>103770</v>
      </c>
      <c r="I82" s="9"/>
      <c r="J82" s="9"/>
      <c r="K82" s="9"/>
      <c r="L82" s="9">
        <v>2</v>
      </c>
      <c r="M82" s="9">
        <v>148</v>
      </c>
      <c r="N82" s="9">
        <v>103770</v>
      </c>
      <c r="O82" s="9"/>
      <c r="P82" s="9"/>
      <c r="Q82" s="9"/>
      <c r="R82" s="8"/>
    </row>
    <row r="83" spans="1:18">
      <c r="A83" s="1">
        <v>75</v>
      </c>
      <c r="B83" s="1">
        <v>102000</v>
      </c>
      <c r="C83" s="9">
        <v>6</v>
      </c>
      <c r="D83" s="9">
        <v>450</v>
      </c>
      <c r="E83" s="9">
        <v>102000</v>
      </c>
      <c r="F83" s="9"/>
      <c r="G83" s="9"/>
      <c r="H83" s="9"/>
      <c r="I83" s="9"/>
      <c r="J83" s="9"/>
      <c r="K83" s="9"/>
      <c r="L83" s="9"/>
      <c r="M83" s="9"/>
      <c r="N83" s="9"/>
      <c r="O83" s="9"/>
      <c r="P83" s="9"/>
      <c r="Q83" s="9"/>
      <c r="R83" s="8"/>
    </row>
    <row r="84" spans="1:18">
      <c r="A84" s="1">
        <v>76</v>
      </c>
      <c r="B84" s="1">
        <v>103000</v>
      </c>
      <c r="C84" s="9">
        <v>14</v>
      </c>
      <c r="D84" s="9">
        <v>1064</v>
      </c>
      <c r="E84" s="9">
        <v>102571.43</v>
      </c>
      <c r="F84" s="9">
        <v>1</v>
      </c>
      <c r="G84" s="9">
        <v>76</v>
      </c>
      <c r="H84" s="9">
        <v>106600</v>
      </c>
      <c r="I84" s="9"/>
      <c r="J84" s="9"/>
      <c r="K84" s="9"/>
      <c r="L84" s="9">
        <v>1</v>
      </c>
      <c r="M84" s="9">
        <v>76</v>
      </c>
      <c r="N84" s="9">
        <v>106600</v>
      </c>
      <c r="O84" s="9"/>
      <c r="P84" s="9"/>
      <c r="Q84" s="9"/>
      <c r="R84" s="8"/>
    </row>
    <row r="85" spans="1:18">
      <c r="A85" s="1">
        <v>77</v>
      </c>
      <c r="B85" s="1">
        <v>104000</v>
      </c>
      <c r="C85" s="9">
        <v>14</v>
      </c>
      <c r="D85" s="9">
        <v>1078</v>
      </c>
      <c r="E85" s="9">
        <v>104000</v>
      </c>
      <c r="F85" s="9">
        <v>1</v>
      </c>
      <c r="G85" s="9">
        <v>77</v>
      </c>
      <c r="H85" s="9">
        <v>107600</v>
      </c>
      <c r="I85" s="9"/>
      <c r="J85" s="9"/>
      <c r="K85" s="9"/>
      <c r="L85" s="9">
        <v>1</v>
      </c>
      <c r="M85" s="9">
        <v>77</v>
      </c>
      <c r="N85" s="9">
        <v>107600</v>
      </c>
      <c r="O85" s="9"/>
      <c r="P85" s="9"/>
      <c r="Q85" s="9"/>
      <c r="R85" s="8"/>
    </row>
    <row r="86" spans="1:18">
      <c r="A86" s="1">
        <v>78</v>
      </c>
      <c r="B86" s="1">
        <v>105000</v>
      </c>
      <c r="C86" s="9">
        <v>13</v>
      </c>
      <c r="D86" s="9">
        <v>1014</v>
      </c>
      <c r="E86" s="9">
        <v>105000</v>
      </c>
      <c r="F86" s="9"/>
      <c r="G86" s="9"/>
      <c r="H86" s="9"/>
      <c r="I86" s="9"/>
      <c r="J86" s="9"/>
      <c r="K86" s="9"/>
      <c r="L86" s="9"/>
      <c r="M86" s="9"/>
      <c r="N86" s="9"/>
      <c r="O86" s="9"/>
      <c r="P86" s="9"/>
      <c r="Q86" s="9"/>
      <c r="R86" s="8"/>
    </row>
    <row r="87" spans="1:18">
      <c r="A87" s="1">
        <v>79</v>
      </c>
      <c r="B87" s="1">
        <v>106000</v>
      </c>
      <c r="C87" s="9">
        <v>12</v>
      </c>
      <c r="D87" s="9">
        <v>948</v>
      </c>
      <c r="E87" s="9">
        <v>106000</v>
      </c>
      <c r="F87" s="9">
        <v>1</v>
      </c>
      <c r="G87" s="9">
        <v>79</v>
      </c>
      <c r="H87" s="9">
        <v>109600</v>
      </c>
      <c r="I87" s="9"/>
      <c r="J87" s="9"/>
      <c r="K87" s="9"/>
      <c r="L87" s="9">
        <v>1</v>
      </c>
      <c r="M87" s="9">
        <v>79</v>
      </c>
      <c r="N87" s="9">
        <v>109600</v>
      </c>
      <c r="O87" s="9"/>
      <c r="P87" s="9"/>
      <c r="Q87" s="9"/>
      <c r="R87" s="8"/>
    </row>
    <row r="88" spans="1:18">
      <c r="A88" s="1">
        <v>80</v>
      </c>
      <c r="B88" s="1">
        <v>107000</v>
      </c>
      <c r="C88" s="9">
        <v>8</v>
      </c>
      <c r="D88" s="9">
        <v>640</v>
      </c>
      <c r="E88" s="9">
        <v>107000</v>
      </c>
      <c r="F88" s="9"/>
      <c r="G88" s="9"/>
      <c r="H88" s="9"/>
      <c r="I88" s="9"/>
      <c r="J88" s="9"/>
      <c r="K88" s="9"/>
      <c r="L88" s="9"/>
      <c r="M88" s="9"/>
      <c r="N88" s="9"/>
      <c r="O88" s="9"/>
      <c r="P88" s="9"/>
      <c r="Q88" s="9"/>
      <c r="R88" s="8"/>
    </row>
    <row r="89" spans="1:18">
      <c r="A89" s="1">
        <v>81</v>
      </c>
      <c r="B89" s="1">
        <v>108000</v>
      </c>
      <c r="C89" s="9">
        <v>11</v>
      </c>
      <c r="D89" s="9">
        <v>891</v>
      </c>
      <c r="E89" s="9">
        <v>108000</v>
      </c>
      <c r="F89" s="9"/>
      <c r="G89" s="9"/>
      <c r="H89" s="9"/>
      <c r="I89" s="9"/>
      <c r="J89" s="9"/>
      <c r="K89" s="9"/>
      <c r="L89" s="9"/>
      <c r="M89" s="9"/>
      <c r="N89" s="9"/>
      <c r="O89" s="9"/>
      <c r="P89" s="9"/>
      <c r="Q89" s="9"/>
      <c r="R89" s="8"/>
    </row>
    <row r="90" spans="1:18">
      <c r="A90" s="1">
        <v>82</v>
      </c>
      <c r="B90" s="1">
        <v>109000</v>
      </c>
      <c r="C90" s="9">
        <v>12</v>
      </c>
      <c r="D90" s="9">
        <v>984</v>
      </c>
      <c r="E90" s="9">
        <v>109000</v>
      </c>
      <c r="F90" s="9">
        <v>1</v>
      </c>
      <c r="G90" s="9">
        <v>82</v>
      </c>
      <c r="H90" s="9">
        <v>112600</v>
      </c>
      <c r="I90" s="9"/>
      <c r="J90" s="9"/>
      <c r="K90" s="9"/>
      <c r="L90" s="9">
        <v>1</v>
      </c>
      <c r="M90" s="9">
        <v>82</v>
      </c>
      <c r="N90" s="9">
        <v>112600</v>
      </c>
      <c r="O90" s="9"/>
      <c r="P90" s="9"/>
      <c r="Q90" s="9"/>
      <c r="R90" s="8"/>
    </row>
    <row r="91" spans="1:18">
      <c r="A91" s="1">
        <v>83</v>
      </c>
      <c r="B91" s="1">
        <v>110000</v>
      </c>
      <c r="C91" s="9">
        <v>10</v>
      </c>
      <c r="D91" s="9">
        <v>830</v>
      </c>
      <c r="E91" s="9">
        <v>110000</v>
      </c>
      <c r="F91" s="9"/>
      <c r="G91" s="9"/>
      <c r="H91" s="9"/>
      <c r="I91" s="9"/>
      <c r="J91" s="9"/>
      <c r="K91" s="9"/>
      <c r="L91" s="9"/>
      <c r="M91" s="9"/>
      <c r="N91" s="9"/>
      <c r="O91" s="9"/>
      <c r="P91" s="9"/>
      <c r="Q91" s="9"/>
      <c r="R91" s="8"/>
    </row>
    <row r="92" spans="1:18">
      <c r="A92" s="1">
        <v>84</v>
      </c>
      <c r="B92" s="1">
        <v>111000</v>
      </c>
      <c r="C92" s="9">
        <v>7</v>
      </c>
      <c r="D92" s="9">
        <v>588</v>
      </c>
      <c r="E92" s="9">
        <v>111000</v>
      </c>
      <c r="F92" s="9"/>
      <c r="G92" s="9"/>
      <c r="H92" s="9"/>
      <c r="I92" s="9"/>
      <c r="J92" s="9"/>
      <c r="K92" s="9"/>
      <c r="L92" s="9"/>
      <c r="M92" s="9"/>
      <c r="N92" s="9"/>
      <c r="O92" s="9"/>
      <c r="P92" s="9"/>
      <c r="Q92" s="9"/>
      <c r="R92" s="8"/>
    </row>
    <row r="93" spans="1:18">
      <c r="A93" s="1">
        <v>85</v>
      </c>
      <c r="B93" s="1">
        <v>112000</v>
      </c>
      <c r="C93" s="9">
        <v>8</v>
      </c>
      <c r="D93" s="9">
        <v>680</v>
      </c>
      <c r="E93" s="9">
        <v>112000</v>
      </c>
      <c r="F93" s="9">
        <v>1</v>
      </c>
      <c r="G93" s="9">
        <v>85</v>
      </c>
      <c r="H93" s="9">
        <v>115600</v>
      </c>
      <c r="I93" s="9"/>
      <c r="J93" s="9"/>
      <c r="K93" s="9"/>
      <c r="L93" s="9">
        <v>1</v>
      </c>
      <c r="M93" s="9">
        <v>85</v>
      </c>
      <c r="N93" s="9">
        <v>115600</v>
      </c>
      <c r="O93" s="9"/>
      <c r="P93" s="9"/>
      <c r="Q93" s="9"/>
      <c r="R93" s="8"/>
    </row>
    <row r="94" spans="1:18">
      <c r="A94" s="1">
        <v>86</v>
      </c>
      <c r="B94" s="1">
        <v>113000</v>
      </c>
      <c r="C94" s="9">
        <v>9</v>
      </c>
      <c r="D94" s="9">
        <v>774</v>
      </c>
      <c r="E94" s="9">
        <v>113000</v>
      </c>
      <c r="F94" s="9"/>
      <c r="G94" s="9"/>
      <c r="H94" s="9"/>
      <c r="I94" s="9"/>
      <c r="J94" s="9"/>
      <c r="K94" s="9"/>
      <c r="L94" s="9"/>
      <c r="M94" s="9"/>
      <c r="N94" s="9"/>
      <c r="O94" s="9"/>
      <c r="P94" s="9"/>
      <c r="Q94" s="9"/>
      <c r="R94" s="8"/>
    </row>
    <row r="95" spans="1:18">
      <c r="A95" s="1">
        <v>87</v>
      </c>
      <c r="B95" s="1">
        <v>114000</v>
      </c>
      <c r="C95" s="9">
        <v>7</v>
      </c>
      <c r="D95" s="9">
        <v>609</v>
      </c>
      <c r="E95" s="9">
        <v>114000</v>
      </c>
      <c r="F95" s="9">
        <v>1</v>
      </c>
      <c r="G95" s="9">
        <v>87</v>
      </c>
      <c r="H95" s="9">
        <v>114000</v>
      </c>
      <c r="I95" s="9"/>
      <c r="J95" s="9"/>
      <c r="K95" s="9"/>
      <c r="L95" s="9"/>
      <c r="M95" s="9"/>
      <c r="N95" s="9"/>
      <c r="O95" s="9">
        <v>1</v>
      </c>
      <c r="P95" s="9">
        <v>87</v>
      </c>
      <c r="Q95" s="9">
        <v>114000</v>
      </c>
      <c r="R95" s="8"/>
    </row>
    <row r="96" spans="1:18">
      <c r="A96" s="1">
        <v>88</v>
      </c>
      <c r="B96" s="1">
        <v>115000</v>
      </c>
      <c r="C96" s="9">
        <v>5</v>
      </c>
      <c r="D96" s="9">
        <v>440</v>
      </c>
      <c r="E96" s="9">
        <v>115000</v>
      </c>
      <c r="F96" s="9"/>
      <c r="G96" s="9"/>
      <c r="H96" s="9"/>
      <c r="I96" s="9"/>
      <c r="J96" s="9"/>
      <c r="K96" s="9"/>
      <c r="L96" s="9"/>
      <c r="M96" s="9"/>
      <c r="N96" s="9"/>
      <c r="O96" s="9"/>
      <c r="P96" s="9"/>
      <c r="Q96" s="9"/>
      <c r="R96" s="8"/>
    </row>
    <row r="97" spans="1:18">
      <c r="A97" s="1">
        <v>89</v>
      </c>
      <c r="B97" s="1">
        <v>116000</v>
      </c>
      <c r="C97" s="9">
        <v>6</v>
      </c>
      <c r="D97" s="9">
        <v>534</v>
      </c>
      <c r="E97" s="9">
        <v>116000</v>
      </c>
      <c r="F97" s="9"/>
      <c r="G97" s="9"/>
      <c r="H97" s="9"/>
      <c r="I97" s="9"/>
      <c r="J97" s="9"/>
      <c r="K97" s="9"/>
      <c r="L97" s="9"/>
      <c r="M97" s="9"/>
      <c r="N97" s="9"/>
      <c r="O97" s="9"/>
      <c r="P97" s="9"/>
      <c r="Q97" s="9"/>
      <c r="R97" s="8"/>
    </row>
    <row r="98" spans="1:18">
      <c r="A98" s="1">
        <v>90</v>
      </c>
      <c r="B98" s="1">
        <v>117000</v>
      </c>
      <c r="C98" s="9">
        <v>7</v>
      </c>
      <c r="D98" s="9">
        <v>630</v>
      </c>
      <c r="E98" s="9">
        <v>117000</v>
      </c>
      <c r="F98" s="9"/>
      <c r="G98" s="9"/>
      <c r="H98" s="9"/>
      <c r="I98" s="9"/>
      <c r="J98" s="9"/>
      <c r="K98" s="9"/>
      <c r="L98" s="9"/>
      <c r="M98" s="9"/>
      <c r="N98" s="9"/>
      <c r="O98" s="9"/>
      <c r="P98" s="9"/>
      <c r="Q98" s="9"/>
      <c r="R98" s="8"/>
    </row>
    <row r="99" spans="1:18">
      <c r="A99" s="1">
        <v>91</v>
      </c>
      <c r="B99" s="1">
        <v>118000</v>
      </c>
      <c r="C99" s="9">
        <v>11</v>
      </c>
      <c r="D99" s="9">
        <v>1001</v>
      </c>
      <c r="E99" s="9">
        <v>118000</v>
      </c>
      <c r="F99" s="9"/>
      <c r="G99" s="9"/>
      <c r="H99" s="9"/>
      <c r="I99" s="9"/>
      <c r="J99" s="9"/>
      <c r="K99" s="9"/>
      <c r="L99" s="9"/>
      <c r="M99" s="9"/>
      <c r="N99" s="9"/>
      <c r="O99" s="9"/>
      <c r="P99" s="9"/>
      <c r="Q99" s="9"/>
      <c r="R99" s="8"/>
    </row>
    <row r="100" spans="1:18">
      <c r="A100" s="1">
        <v>92</v>
      </c>
      <c r="B100" s="1">
        <v>119000</v>
      </c>
      <c r="C100" s="9">
        <v>8</v>
      </c>
      <c r="D100" s="9">
        <v>736</v>
      </c>
      <c r="E100" s="9">
        <v>119000</v>
      </c>
      <c r="F100" s="9">
        <v>2</v>
      </c>
      <c r="G100" s="9">
        <v>184</v>
      </c>
      <c r="H100" s="9">
        <v>122600</v>
      </c>
      <c r="I100" s="9"/>
      <c r="J100" s="9"/>
      <c r="K100" s="9"/>
      <c r="L100" s="9">
        <v>2</v>
      </c>
      <c r="M100" s="9">
        <v>184</v>
      </c>
      <c r="N100" s="9">
        <v>122600</v>
      </c>
      <c r="O100" s="9"/>
      <c r="P100" s="9"/>
      <c r="Q100" s="9"/>
      <c r="R100" s="8"/>
    </row>
    <row r="101" spans="1:18">
      <c r="A101" s="1">
        <v>93</v>
      </c>
      <c r="B101" s="1">
        <v>120000</v>
      </c>
      <c r="C101" s="9">
        <v>6</v>
      </c>
      <c r="D101" s="9">
        <v>558</v>
      </c>
      <c r="E101" s="9">
        <v>120000</v>
      </c>
      <c r="F101" s="9"/>
      <c r="G101" s="9"/>
      <c r="H101" s="9"/>
      <c r="I101" s="9"/>
      <c r="J101" s="9"/>
      <c r="K101" s="9"/>
      <c r="L101" s="9"/>
      <c r="M101" s="9"/>
      <c r="N101" s="9"/>
      <c r="O101" s="9"/>
      <c r="P101" s="9"/>
      <c r="Q101" s="9"/>
      <c r="R101" s="8"/>
    </row>
    <row r="102" spans="1:18">
      <c r="A102" s="1">
        <v>94</v>
      </c>
      <c r="B102" s="1">
        <v>121000</v>
      </c>
      <c r="C102" s="9">
        <v>10</v>
      </c>
      <c r="D102" s="9">
        <v>940</v>
      </c>
      <c r="E102" s="9">
        <v>121000</v>
      </c>
      <c r="F102" s="9">
        <v>1</v>
      </c>
      <c r="G102" s="9">
        <v>94</v>
      </c>
      <c r="H102" s="9">
        <v>124600</v>
      </c>
      <c r="I102" s="9"/>
      <c r="J102" s="9"/>
      <c r="K102" s="9"/>
      <c r="L102" s="9">
        <v>1</v>
      </c>
      <c r="M102" s="9">
        <v>94</v>
      </c>
      <c r="N102" s="9">
        <v>124600</v>
      </c>
      <c r="O102" s="9"/>
      <c r="P102" s="9"/>
      <c r="Q102" s="9"/>
      <c r="R102" s="8"/>
    </row>
    <row r="103" spans="1:18">
      <c r="A103" s="1">
        <v>95</v>
      </c>
      <c r="B103" s="1">
        <v>122000</v>
      </c>
      <c r="C103" s="9">
        <v>3</v>
      </c>
      <c r="D103" s="9">
        <v>285</v>
      </c>
      <c r="E103" s="9">
        <v>122000</v>
      </c>
      <c r="F103" s="9"/>
      <c r="G103" s="9"/>
      <c r="H103" s="9"/>
      <c r="I103" s="9"/>
      <c r="J103" s="9"/>
      <c r="K103" s="9"/>
      <c r="L103" s="9"/>
      <c r="M103" s="9"/>
      <c r="N103" s="9"/>
      <c r="O103" s="9"/>
      <c r="P103" s="9"/>
      <c r="Q103" s="9"/>
      <c r="R103" s="8"/>
    </row>
    <row r="104" spans="1:18">
      <c r="A104" s="1">
        <v>96</v>
      </c>
      <c r="B104" s="1">
        <v>123000</v>
      </c>
      <c r="C104" s="9">
        <v>4</v>
      </c>
      <c r="D104" s="9">
        <v>384</v>
      </c>
      <c r="E104" s="9">
        <v>123000</v>
      </c>
      <c r="F104" s="9">
        <v>1</v>
      </c>
      <c r="G104" s="9">
        <v>96</v>
      </c>
      <c r="H104" s="9">
        <v>126600</v>
      </c>
      <c r="I104" s="9"/>
      <c r="J104" s="9"/>
      <c r="K104" s="9"/>
      <c r="L104" s="9">
        <v>1</v>
      </c>
      <c r="M104" s="9">
        <v>96</v>
      </c>
      <c r="N104" s="9">
        <v>126600</v>
      </c>
      <c r="O104" s="9"/>
      <c r="P104" s="9"/>
      <c r="Q104" s="9"/>
      <c r="R104" s="8"/>
    </row>
    <row r="105" spans="1:18">
      <c r="A105" s="1">
        <v>97</v>
      </c>
      <c r="B105" s="1">
        <v>124000</v>
      </c>
      <c r="C105" s="9">
        <v>3</v>
      </c>
      <c r="D105" s="9">
        <v>291</v>
      </c>
      <c r="E105" s="9">
        <v>124000</v>
      </c>
      <c r="F105" s="9"/>
      <c r="G105" s="9"/>
      <c r="H105" s="9"/>
      <c r="I105" s="9"/>
      <c r="J105" s="9"/>
      <c r="K105" s="9"/>
      <c r="L105" s="9"/>
      <c r="M105" s="9"/>
      <c r="N105" s="9"/>
      <c r="O105" s="9"/>
      <c r="P105" s="9"/>
      <c r="Q105" s="9"/>
      <c r="R105" s="8"/>
    </row>
    <row r="106" spans="1:18">
      <c r="A106" s="1">
        <v>98</v>
      </c>
      <c r="B106" s="1">
        <v>125000</v>
      </c>
      <c r="C106" s="9">
        <v>7</v>
      </c>
      <c r="D106" s="9">
        <v>686</v>
      </c>
      <c r="E106" s="9">
        <v>124142.86</v>
      </c>
      <c r="F106" s="9"/>
      <c r="G106" s="9"/>
      <c r="H106" s="9"/>
      <c r="I106" s="9"/>
      <c r="J106" s="9"/>
      <c r="K106" s="9"/>
      <c r="L106" s="9"/>
      <c r="M106" s="9"/>
      <c r="N106" s="9"/>
      <c r="O106" s="9"/>
      <c r="P106" s="9"/>
      <c r="Q106" s="9"/>
      <c r="R106" s="8"/>
    </row>
    <row r="107" spans="1:18">
      <c r="A107" s="1">
        <v>99</v>
      </c>
      <c r="B107" s="1">
        <v>126000</v>
      </c>
      <c r="C107" s="9">
        <v>8</v>
      </c>
      <c r="D107" s="9">
        <v>792</v>
      </c>
      <c r="E107" s="9">
        <v>126000</v>
      </c>
      <c r="F107" s="9"/>
      <c r="G107" s="9"/>
      <c r="H107" s="9"/>
      <c r="I107" s="9"/>
      <c r="J107" s="9"/>
      <c r="K107" s="9"/>
      <c r="L107" s="9"/>
      <c r="M107" s="9"/>
      <c r="N107" s="9"/>
      <c r="O107" s="9"/>
      <c r="P107" s="9"/>
      <c r="Q107" s="9"/>
      <c r="R107" s="8"/>
    </row>
    <row r="108" spans="1:18">
      <c r="A108" s="1">
        <v>100</v>
      </c>
      <c r="B108" s="1">
        <v>127000</v>
      </c>
      <c r="C108" s="9">
        <v>9</v>
      </c>
      <c r="D108" s="9">
        <v>900</v>
      </c>
      <c r="E108" s="9">
        <v>127000</v>
      </c>
      <c r="F108" s="9">
        <v>1</v>
      </c>
      <c r="G108" s="9">
        <v>100</v>
      </c>
      <c r="H108" s="9">
        <v>130600</v>
      </c>
      <c r="I108" s="9"/>
      <c r="J108" s="9"/>
      <c r="K108" s="9"/>
      <c r="L108" s="9">
        <v>1</v>
      </c>
      <c r="M108" s="9">
        <v>100</v>
      </c>
      <c r="N108" s="9">
        <v>130600</v>
      </c>
      <c r="O108" s="9"/>
      <c r="P108" s="9"/>
      <c r="Q108" s="9"/>
      <c r="R108" s="8"/>
    </row>
    <row r="109" spans="1:18">
      <c r="A109" s="1">
        <v>101</v>
      </c>
      <c r="B109" s="1">
        <v>128000</v>
      </c>
      <c r="C109" s="9">
        <v>4</v>
      </c>
      <c r="D109" s="9">
        <v>404</v>
      </c>
      <c r="E109" s="9">
        <v>128000</v>
      </c>
      <c r="F109" s="9"/>
      <c r="G109" s="9"/>
      <c r="H109" s="9"/>
      <c r="I109" s="9"/>
      <c r="J109" s="9"/>
      <c r="K109" s="9"/>
      <c r="L109" s="9"/>
      <c r="M109" s="9"/>
      <c r="N109" s="9"/>
      <c r="O109" s="9"/>
      <c r="P109" s="9"/>
      <c r="Q109" s="9"/>
      <c r="R109" s="8"/>
    </row>
    <row r="110" spans="1:18">
      <c r="A110" s="12">
        <v>102</v>
      </c>
      <c r="B110" s="12">
        <v>129000</v>
      </c>
      <c r="C110" s="9">
        <v>8</v>
      </c>
      <c r="D110" s="9">
        <v>816</v>
      </c>
      <c r="E110" s="9">
        <v>129439.5</v>
      </c>
      <c r="F110" s="9"/>
      <c r="G110" s="9"/>
      <c r="H110" s="9"/>
      <c r="I110" s="9"/>
      <c r="J110" s="9"/>
      <c r="K110" s="9"/>
      <c r="L110" s="9"/>
      <c r="M110" s="9"/>
      <c r="N110" s="9"/>
      <c r="O110" s="9"/>
      <c r="P110" s="9"/>
      <c r="Q110" s="9"/>
      <c r="R110" s="8"/>
    </row>
    <row r="111" spans="1:18">
      <c r="A111" s="12">
        <v>103</v>
      </c>
      <c r="B111" s="12">
        <v>130000</v>
      </c>
      <c r="C111" s="9">
        <v>6</v>
      </c>
      <c r="D111" s="9">
        <v>618</v>
      </c>
      <c r="E111" s="9">
        <v>131311</v>
      </c>
      <c r="F111" s="9"/>
      <c r="G111" s="9"/>
      <c r="H111" s="9"/>
      <c r="I111" s="9"/>
      <c r="J111" s="9"/>
      <c r="K111" s="9"/>
      <c r="L111" s="9"/>
      <c r="M111" s="9"/>
      <c r="N111" s="9"/>
      <c r="O111" s="9"/>
      <c r="P111" s="9"/>
      <c r="Q111" s="9"/>
      <c r="R111" s="8"/>
    </row>
    <row r="112" spans="1:18">
      <c r="A112" s="12">
        <v>104</v>
      </c>
      <c r="B112" s="12">
        <v>131000</v>
      </c>
      <c r="C112" s="9">
        <v>4</v>
      </c>
      <c r="D112" s="9">
        <v>416</v>
      </c>
      <c r="E112" s="9">
        <v>133744</v>
      </c>
      <c r="F112" s="9">
        <v>1</v>
      </c>
      <c r="G112" s="9">
        <v>104</v>
      </c>
      <c r="H112" s="9">
        <v>134600</v>
      </c>
      <c r="I112" s="9"/>
      <c r="J112" s="9"/>
      <c r="K112" s="9"/>
      <c r="L112" s="9">
        <v>1</v>
      </c>
      <c r="M112" s="9">
        <v>104</v>
      </c>
      <c r="N112" s="9">
        <v>134600</v>
      </c>
      <c r="O112" s="9"/>
      <c r="P112" s="9"/>
      <c r="Q112" s="9"/>
      <c r="R112" s="8"/>
    </row>
    <row r="113" spans="1:18">
      <c r="A113" s="12">
        <v>105</v>
      </c>
      <c r="B113" s="12">
        <v>132000</v>
      </c>
      <c r="C113" s="9">
        <v>6</v>
      </c>
      <c r="D113" s="9">
        <v>630</v>
      </c>
      <c r="E113" s="9">
        <v>135016.67000000001</v>
      </c>
      <c r="F113" s="9">
        <v>1</v>
      </c>
      <c r="G113" s="9">
        <v>105</v>
      </c>
      <c r="H113" s="9">
        <v>141050</v>
      </c>
      <c r="I113" s="9">
        <v>1</v>
      </c>
      <c r="J113" s="9">
        <v>105</v>
      </c>
      <c r="K113" s="9">
        <v>141050</v>
      </c>
      <c r="L113" s="9"/>
      <c r="M113" s="9"/>
      <c r="N113" s="9"/>
      <c r="O113" s="9"/>
      <c r="P113" s="9"/>
      <c r="Q113" s="9"/>
      <c r="R113" s="8"/>
    </row>
    <row r="114" spans="1:18">
      <c r="A114" s="12">
        <v>106</v>
      </c>
      <c r="B114" s="12">
        <v>133000</v>
      </c>
      <c r="C114" s="9">
        <v>6</v>
      </c>
      <c r="D114" s="9">
        <v>636</v>
      </c>
      <c r="E114" s="9">
        <v>137974</v>
      </c>
      <c r="F114" s="9">
        <v>1</v>
      </c>
      <c r="G114" s="9">
        <v>106</v>
      </c>
      <c r="H114" s="9">
        <v>143174</v>
      </c>
      <c r="I114" s="9">
        <v>1</v>
      </c>
      <c r="J114" s="9">
        <v>106</v>
      </c>
      <c r="K114" s="9">
        <v>143174</v>
      </c>
      <c r="L114" s="9"/>
      <c r="M114" s="9"/>
      <c r="N114" s="9"/>
      <c r="O114" s="9"/>
      <c r="P114" s="9"/>
      <c r="Q114" s="9"/>
      <c r="R114" s="8"/>
    </row>
    <row r="115" spans="1:18">
      <c r="A115" s="12">
        <v>107</v>
      </c>
      <c r="B115" s="12">
        <v>134000</v>
      </c>
      <c r="C115" s="9">
        <v>7</v>
      </c>
      <c r="D115" s="9">
        <v>749</v>
      </c>
      <c r="E115" s="9">
        <v>139242.29</v>
      </c>
      <c r="F115" s="9">
        <v>1</v>
      </c>
      <c r="G115" s="9">
        <v>107</v>
      </c>
      <c r="H115" s="9">
        <v>142716</v>
      </c>
      <c r="I115" s="9"/>
      <c r="J115" s="9"/>
      <c r="K115" s="9"/>
      <c r="L115" s="9">
        <v>1</v>
      </c>
      <c r="M115" s="9">
        <v>107</v>
      </c>
      <c r="N115" s="9">
        <v>142716</v>
      </c>
      <c r="O115" s="9"/>
      <c r="P115" s="9"/>
      <c r="Q115" s="9"/>
      <c r="R115" s="8"/>
    </row>
    <row r="116" spans="1:18">
      <c r="A116" s="12">
        <v>108</v>
      </c>
      <c r="B116" s="12">
        <v>135000</v>
      </c>
      <c r="C116" s="9">
        <v>4</v>
      </c>
      <c r="D116" s="9">
        <v>432</v>
      </c>
      <c r="E116" s="9">
        <v>142276</v>
      </c>
      <c r="F116" s="9">
        <v>1</v>
      </c>
      <c r="G116" s="9">
        <v>108</v>
      </c>
      <c r="H116" s="9">
        <v>144876</v>
      </c>
      <c r="I116" s="9"/>
      <c r="J116" s="9"/>
      <c r="K116" s="9"/>
      <c r="L116" s="9">
        <v>1</v>
      </c>
      <c r="M116" s="9">
        <v>108</v>
      </c>
      <c r="N116" s="9">
        <v>144876</v>
      </c>
      <c r="O116" s="9"/>
      <c r="P116" s="9"/>
      <c r="Q116" s="9"/>
      <c r="R116" s="8"/>
    </row>
    <row r="117" spans="1:18">
      <c r="A117" s="12">
        <v>109</v>
      </c>
      <c r="B117" s="12">
        <v>136000</v>
      </c>
      <c r="C117" s="9">
        <v>6</v>
      </c>
      <c r="D117" s="9">
        <v>654</v>
      </c>
      <c r="E117" s="9">
        <v>144454</v>
      </c>
      <c r="F117" s="9"/>
      <c r="G117" s="9"/>
      <c r="H117" s="9"/>
      <c r="I117" s="9"/>
      <c r="J117" s="9"/>
      <c r="K117" s="9"/>
      <c r="L117" s="9"/>
      <c r="M117" s="9"/>
      <c r="N117" s="9"/>
      <c r="O117" s="9"/>
      <c r="P117" s="9"/>
      <c r="Q117" s="9"/>
      <c r="R117" s="8"/>
    </row>
    <row r="118" spans="1:18">
      <c r="A118" s="12">
        <v>110</v>
      </c>
      <c r="B118" s="12">
        <v>137000</v>
      </c>
      <c r="C118" s="9">
        <v>5</v>
      </c>
      <c r="D118" s="9">
        <v>550</v>
      </c>
      <c r="E118" s="9">
        <v>146650</v>
      </c>
      <c r="F118" s="9"/>
      <c r="G118" s="9"/>
      <c r="H118" s="9"/>
      <c r="I118" s="9"/>
      <c r="J118" s="9"/>
      <c r="K118" s="9"/>
      <c r="L118" s="9"/>
      <c r="M118" s="9"/>
      <c r="N118" s="9"/>
      <c r="O118" s="9"/>
      <c r="P118" s="9"/>
      <c r="Q118" s="9"/>
      <c r="R118" s="8"/>
    </row>
    <row r="119" spans="1:18">
      <c r="A119" s="12">
        <v>111</v>
      </c>
      <c r="B119" s="12">
        <v>138000</v>
      </c>
      <c r="C119" s="9">
        <v>3</v>
      </c>
      <c r="D119" s="9">
        <v>333</v>
      </c>
      <c r="E119" s="9">
        <v>148864</v>
      </c>
      <c r="F119" s="9"/>
      <c r="G119" s="9"/>
      <c r="H119" s="9"/>
      <c r="I119" s="9"/>
      <c r="J119" s="9"/>
      <c r="K119" s="9"/>
      <c r="L119" s="9"/>
      <c r="M119" s="9"/>
      <c r="N119" s="9"/>
      <c r="O119" s="9"/>
      <c r="P119" s="9"/>
      <c r="Q119" s="9"/>
      <c r="R119" s="8"/>
    </row>
    <row r="120" spans="1:18">
      <c r="A120" s="12">
        <v>112</v>
      </c>
      <c r="B120" s="12">
        <v>139000</v>
      </c>
      <c r="C120" s="9">
        <v>2</v>
      </c>
      <c r="D120" s="9">
        <v>224</v>
      </c>
      <c r="E120" s="9">
        <v>144535</v>
      </c>
      <c r="F120" s="9"/>
      <c r="G120" s="9"/>
      <c r="H120" s="9"/>
      <c r="I120" s="9"/>
      <c r="J120" s="9"/>
      <c r="K120" s="9"/>
      <c r="L120" s="9"/>
      <c r="M120" s="9"/>
      <c r="N120" s="9"/>
      <c r="O120" s="9"/>
      <c r="P120" s="9"/>
      <c r="Q120" s="9"/>
      <c r="R120" s="8"/>
    </row>
    <row r="121" spans="1:18">
      <c r="A121" s="12">
        <v>113</v>
      </c>
      <c r="B121" s="12">
        <v>140000</v>
      </c>
      <c r="C121" s="9">
        <v>9</v>
      </c>
      <c r="D121" s="9">
        <v>1017</v>
      </c>
      <c r="E121" s="9">
        <v>151863.10999999999</v>
      </c>
      <c r="F121" s="9">
        <v>1</v>
      </c>
      <c r="G121" s="9">
        <v>113</v>
      </c>
      <c r="H121" s="9">
        <v>140000</v>
      </c>
      <c r="I121" s="9"/>
      <c r="J121" s="9"/>
      <c r="K121" s="9"/>
      <c r="L121" s="9"/>
      <c r="M121" s="9"/>
      <c r="N121" s="9"/>
      <c r="O121" s="9">
        <v>1</v>
      </c>
      <c r="P121" s="9">
        <v>113</v>
      </c>
      <c r="Q121" s="9">
        <v>140000</v>
      </c>
      <c r="R121" s="8"/>
    </row>
    <row r="122" spans="1:18">
      <c r="A122" s="12">
        <v>114</v>
      </c>
      <c r="B122" s="12">
        <v>141000</v>
      </c>
      <c r="C122" s="9">
        <v>3</v>
      </c>
      <c r="D122" s="9">
        <v>342</v>
      </c>
      <c r="E122" s="9">
        <v>155614</v>
      </c>
      <c r="F122" s="9">
        <v>2</v>
      </c>
      <c r="G122" s="9">
        <v>228</v>
      </c>
      <c r="H122" s="9">
        <v>151407</v>
      </c>
      <c r="I122" s="9"/>
      <c r="J122" s="9"/>
      <c r="K122" s="9"/>
      <c r="L122" s="9">
        <v>2</v>
      </c>
      <c r="M122" s="9">
        <v>228</v>
      </c>
      <c r="N122" s="9">
        <v>151407</v>
      </c>
      <c r="O122" s="9"/>
      <c r="P122" s="9"/>
      <c r="Q122" s="9"/>
      <c r="R122" s="8"/>
    </row>
    <row r="123" spans="1:18">
      <c r="A123" s="12">
        <v>115</v>
      </c>
      <c r="B123" s="12">
        <v>142000</v>
      </c>
      <c r="C123" s="9">
        <v>7</v>
      </c>
      <c r="D123" s="9">
        <v>805</v>
      </c>
      <c r="E123" s="9">
        <v>155628.57</v>
      </c>
      <c r="F123" s="9"/>
      <c r="G123" s="9"/>
      <c r="H123" s="9"/>
      <c r="I123" s="9"/>
      <c r="J123" s="9"/>
      <c r="K123" s="9"/>
      <c r="L123" s="9"/>
      <c r="M123" s="9"/>
      <c r="N123" s="9"/>
      <c r="O123" s="9"/>
      <c r="P123" s="9"/>
      <c r="Q123" s="9"/>
      <c r="R123" s="8"/>
    </row>
    <row r="124" spans="1:18">
      <c r="A124" s="12">
        <v>116</v>
      </c>
      <c r="B124" s="12">
        <v>143000</v>
      </c>
      <c r="C124" s="9">
        <v>5</v>
      </c>
      <c r="D124" s="9">
        <v>580</v>
      </c>
      <c r="E124" s="9">
        <v>157936</v>
      </c>
      <c r="F124" s="9"/>
      <c r="G124" s="9"/>
      <c r="H124" s="9"/>
      <c r="I124" s="9"/>
      <c r="J124" s="9"/>
      <c r="K124" s="9"/>
      <c r="L124" s="9"/>
      <c r="M124" s="9"/>
      <c r="N124" s="9"/>
      <c r="O124" s="9"/>
      <c r="P124" s="9"/>
      <c r="Q124" s="9"/>
      <c r="R124" s="8"/>
    </row>
    <row r="125" spans="1:18">
      <c r="A125" s="12">
        <v>117</v>
      </c>
      <c r="B125" s="12">
        <v>144000</v>
      </c>
      <c r="C125" s="9">
        <v>4</v>
      </c>
      <c r="D125" s="9">
        <v>468</v>
      </c>
      <c r="E125" s="9">
        <v>157314</v>
      </c>
      <c r="F125" s="9">
        <v>1</v>
      </c>
      <c r="G125" s="9">
        <v>117</v>
      </c>
      <c r="H125" s="9">
        <v>162526</v>
      </c>
      <c r="I125" s="9"/>
      <c r="J125" s="9"/>
      <c r="K125" s="9"/>
      <c r="L125" s="9"/>
      <c r="M125" s="9"/>
      <c r="N125" s="9"/>
      <c r="O125" s="9">
        <v>1</v>
      </c>
      <c r="P125" s="9">
        <v>117</v>
      </c>
      <c r="Q125" s="9">
        <v>162526</v>
      </c>
      <c r="R125" s="8"/>
    </row>
    <row r="126" spans="1:18">
      <c r="A126" s="12">
        <v>118</v>
      </c>
      <c r="B126" s="12">
        <v>145000</v>
      </c>
      <c r="C126" s="9">
        <v>7</v>
      </c>
      <c r="D126" s="9">
        <v>826</v>
      </c>
      <c r="E126" s="9">
        <v>162028</v>
      </c>
      <c r="F126" s="9"/>
      <c r="G126" s="9"/>
      <c r="H126" s="9"/>
      <c r="I126" s="9"/>
      <c r="J126" s="9"/>
      <c r="K126" s="9"/>
      <c r="L126" s="9"/>
      <c r="M126" s="9"/>
      <c r="N126" s="9"/>
      <c r="O126" s="9"/>
      <c r="P126" s="9"/>
      <c r="Q126" s="9"/>
      <c r="R126" s="8"/>
    </row>
    <row r="127" spans="1:18">
      <c r="A127" s="12">
        <v>119</v>
      </c>
      <c r="B127" s="12">
        <v>146000</v>
      </c>
      <c r="C127" s="9">
        <v>8</v>
      </c>
      <c r="D127" s="9">
        <v>952</v>
      </c>
      <c r="E127" s="9">
        <v>166051.75</v>
      </c>
      <c r="F127" s="9"/>
      <c r="G127" s="9"/>
      <c r="H127" s="9"/>
      <c r="I127" s="9"/>
      <c r="J127" s="9"/>
      <c r="K127" s="9"/>
      <c r="L127" s="9"/>
      <c r="M127" s="9"/>
      <c r="N127" s="9"/>
      <c r="O127" s="9"/>
      <c r="P127" s="9"/>
      <c r="Q127" s="9"/>
      <c r="R127" s="8"/>
    </row>
    <row r="128" spans="1:18">
      <c r="A128" s="12">
        <v>120</v>
      </c>
      <c r="B128" s="12">
        <v>147000</v>
      </c>
      <c r="C128" s="9">
        <v>4</v>
      </c>
      <c r="D128" s="9">
        <v>480</v>
      </c>
      <c r="E128" s="9">
        <v>169600</v>
      </c>
      <c r="F128" s="9"/>
      <c r="G128" s="9"/>
      <c r="H128" s="9"/>
      <c r="I128" s="9"/>
      <c r="J128" s="9"/>
      <c r="K128" s="9"/>
      <c r="L128" s="9"/>
      <c r="M128" s="9"/>
      <c r="N128" s="9"/>
      <c r="O128" s="9"/>
      <c r="P128" s="9"/>
      <c r="Q128" s="9"/>
      <c r="R128" s="8"/>
    </row>
    <row r="129" spans="1:18">
      <c r="A129" s="12">
        <v>121</v>
      </c>
      <c r="B129" s="12">
        <v>148000</v>
      </c>
      <c r="C129" s="9">
        <v>5</v>
      </c>
      <c r="D129" s="9">
        <v>605</v>
      </c>
      <c r="E129" s="9">
        <v>171994</v>
      </c>
      <c r="F129" s="9"/>
      <c r="G129" s="9"/>
      <c r="H129" s="9"/>
      <c r="I129" s="9"/>
      <c r="J129" s="9"/>
      <c r="K129" s="9"/>
      <c r="L129" s="9"/>
      <c r="M129" s="9"/>
      <c r="N129" s="9"/>
      <c r="O129" s="9"/>
      <c r="P129" s="9"/>
      <c r="Q129" s="9"/>
      <c r="R129" s="8"/>
    </row>
    <row r="130" spans="1:18">
      <c r="A130" s="12">
        <v>122</v>
      </c>
      <c r="B130" s="12">
        <v>149000</v>
      </c>
      <c r="C130" s="9">
        <v>4</v>
      </c>
      <c r="D130" s="9">
        <v>488</v>
      </c>
      <c r="E130" s="9">
        <v>174406</v>
      </c>
      <c r="F130" s="9"/>
      <c r="G130" s="9"/>
      <c r="H130" s="9"/>
      <c r="I130" s="9"/>
      <c r="J130" s="9"/>
      <c r="K130" s="9"/>
      <c r="L130" s="9"/>
      <c r="M130" s="9"/>
      <c r="N130" s="9"/>
      <c r="O130" s="9"/>
      <c r="P130" s="9"/>
      <c r="Q130" s="9"/>
      <c r="R130" s="8"/>
    </row>
    <row r="131" spans="1:18">
      <c r="A131" s="12">
        <v>123</v>
      </c>
      <c r="B131" s="12">
        <v>150000</v>
      </c>
      <c r="C131" s="9">
        <v>4</v>
      </c>
      <c r="D131" s="9">
        <v>492</v>
      </c>
      <c r="E131" s="9">
        <v>176228.5</v>
      </c>
      <c r="F131" s="9">
        <v>1</v>
      </c>
      <c r="G131" s="9">
        <v>123</v>
      </c>
      <c r="H131" s="9">
        <v>179436</v>
      </c>
      <c r="I131" s="9"/>
      <c r="J131" s="9"/>
      <c r="K131" s="9"/>
      <c r="L131" s="9">
        <v>1</v>
      </c>
      <c r="M131" s="9">
        <v>123</v>
      </c>
      <c r="N131" s="9">
        <v>179436</v>
      </c>
      <c r="O131" s="9"/>
      <c r="P131" s="9"/>
      <c r="Q131" s="9"/>
      <c r="R131" s="8"/>
    </row>
    <row r="132" spans="1:18">
      <c r="A132" s="12">
        <v>124</v>
      </c>
      <c r="B132" s="12">
        <v>151000</v>
      </c>
      <c r="C132" s="9">
        <v>1</v>
      </c>
      <c r="D132" s="9">
        <v>124</v>
      </c>
      <c r="E132" s="9">
        <v>179284</v>
      </c>
      <c r="F132" s="9"/>
      <c r="G132" s="9"/>
      <c r="H132" s="9"/>
      <c r="I132" s="9"/>
      <c r="J132" s="9"/>
      <c r="K132" s="9"/>
      <c r="L132" s="9"/>
      <c r="M132" s="9"/>
      <c r="N132" s="9"/>
      <c r="O132" s="9"/>
      <c r="P132" s="9"/>
      <c r="Q132" s="9"/>
      <c r="R132" s="8"/>
    </row>
    <row r="133" spans="1:18">
      <c r="A133" s="12">
        <v>125</v>
      </c>
      <c r="B133" s="12">
        <v>152000</v>
      </c>
      <c r="C133" s="9">
        <v>4</v>
      </c>
      <c r="D133" s="9">
        <v>500</v>
      </c>
      <c r="E133" s="9">
        <v>176363.5</v>
      </c>
      <c r="F133" s="9">
        <v>1</v>
      </c>
      <c r="G133" s="9">
        <v>125</v>
      </c>
      <c r="H133" s="9">
        <v>184350</v>
      </c>
      <c r="I133" s="9"/>
      <c r="J133" s="9"/>
      <c r="K133" s="9"/>
      <c r="L133" s="9">
        <v>1</v>
      </c>
      <c r="M133" s="9">
        <v>125</v>
      </c>
      <c r="N133" s="9">
        <v>184350</v>
      </c>
      <c r="O133" s="9"/>
      <c r="P133" s="9"/>
      <c r="Q133" s="9"/>
      <c r="R133" s="8"/>
    </row>
    <row r="134" spans="1:18">
      <c r="A134" s="12">
        <v>126</v>
      </c>
      <c r="B134" s="12">
        <v>153000</v>
      </c>
      <c r="C134" s="9">
        <v>2</v>
      </c>
      <c r="D134" s="9">
        <v>252</v>
      </c>
      <c r="E134" s="9">
        <v>168617</v>
      </c>
      <c r="F134" s="9"/>
      <c r="G134" s="9"/>
      <c r="H134" s="9"/>
      <c r="I134" s="9"/>
      <c r="J134" s="9"/>
      <c r="K134" s="9"/>
      <c r="L134" s="9"/>
      <c r="M134" s="9"/>
      <c r="N134" s="9"/>
      <c r="O134" s="9"/>
      <c r="P134" s="9"/>
      <c r="Q134" s="9"/>
      <c r="R134" s="8"/>
    </row>
    <row r="135" spans="1:18">
      <c r="A135" s="12">
        <v>127</v>
      </c>
      <c r="B135" s="12">
        <v>154000</v>
      </c>
      <c r="C135" s="9">
        <v>8</v>
      </c>
      <c r="D135" s="9">
        <v>1016</v>
      </c>
      <c r="E135" s="9">
        <v>186736</v>
      </c>
      <c r="F135" s="9"/>
      <c r="G135" s="9"/>
      <c r="H135" s="9"/>
      <c r="I135" s="9"/>
      <c r="J135" s="9"/>
      <c r="K135" s="9"/>
      <c r="L135" s="9"/>
      <c r="M135" s="9"/>
      <c r="N135" s="9"/>
      <c r="O135" s="9"/>
      <c r="P135" s="9"/>
      <c r="Q135" s="9"/>
      <c r="R135" s="8"/>
    </row>
    <row r="136" spans="1:18">
      <c r="A136" s="12">
        <v>128</v>
      </c>
      <c r="B136" s="12">
        <v>155000</v>
      </c>
      <c r="C136" s="9">
        <v>3</v>
      </c>
      <c r="D136" s="9">
        <v>384</v>
      </c>
      <c r="E136" s="9">
        <v>189256</v>
      </c>
      <c r="F136" s="9">
        <v>1</v>
      </c>
      <c r="G136" s="9">
        <v>128</v>
      </c>
      <c r="H136" s="9">
        <v>191856</v>
      </c>
      <c r="I136" s="9">
        <v>1</v>
      </c>
      <c r="J136" s="9">
        <v>128</v>
      </c>
      <c r="K136" s="9">
        <v>191856</v>
      </c>
      <c r="L136" s="9"/>
      <c r="M136" s="9"/>
      <c r="N136" s="9"/>
      <c r="O136" s="9"/>
      <c r="P136" s="9"/>
      <c r="Q136" s="9"/>
      <c r="R136" s="8"/>
    </row>
    <row r="137" spans="1:18">
      <c r="A137" s="12">
        <v>129</v>
      </c>
      <c r="B137" s="12">
        <v>156000</v>
      </c>
      <c r="C137" s="9">
        <v>2</v>
      </c>
      <c r="D137" s="9">
        <v>258</v>
      </c>
      <c r="E137" s="9">
        <v>191794</v>
      </c>
      <c r="F137" s="9"/>
      <c r="G137" s="9"/>
      <c r="H137" s="9"/>
      <c r="I137" s="9"/>
      <c r="J137" s="9"/>
      <c r="K137" s="9"/>
      <c r="L137" s="9"/>
      <c r="M137" s="9"/>
      <c r="N137" s="9"/>
      <c r="O137" s="9"/>
      <c r="P137" s="9"/>
      <c r="Q137" s="9"/>
      <c r="R137" s="8"/>
    </row>
    <row r="138" spans="1:18">
      <c r="A138" s="12">
        <v>130</v>
      </c>
      <c r="B138" s="12">
        <v>157000</v>
      </c>
      <c r="C138" s="9">
        <v>4</v>
      </c>
      <c r="D138" s="9">
        <v>520</v>
      </c>
      <c r="E138" s="9">
        <v>193711</v>
      </c>
      <c r="F138" s="9"/>
      <c r="G138" s="9"/>
      <c r="H138" s="9"/>
      <c r="I138" s="9"/>
      <c r="J138" s="9"/>
      <c r="K138" s="9"/>
      <c r="L138" s="9"/>
      <c r="M138" s="9"/>
      <c r="N138" s="9"/>
      <c r="O138" s="9"/>
      <c r="P138" s="9"/>
      <c r="Q138" s="9"/>
      <c r="R138" s="8"/>
    </row>
    <row r="139" spans="1:18">
      <c r="A139" s="12">
        <v>131</v>
      </c>
      <c r="B139" s="12">
        <v>158000</v>
      </c>
      <c r="C139" s="9">
        <v>5</v>
      </c>
      <c r="D139" s="9">
        <v>655</v>
      </c>
      <c r="E139" s="9">
        <v>192420.4</v>
      </c>
      <c r="F139" s="9"/>
      <c r="G139" s="9"/>
      <c r="H139" s="9"/>
      <c r="I139" s="9"/>
      <c r="J139" s="9"/>
      <c r="K139" s="9"/>
      <c r="L139" s="9"/>
      <c r="M139" s="9"/>
      <c r="N139" s="9"/>
      <c r="O139" s="9"/>
      <c r="P139" s="9"/>
      <c r="Q139" s="9"/>
      <c r="R139" s="8"/>
    </row>
    <row r="140" spans="1:18">
      <c r="A140" s="12">
        <v>132</v>
      </c>
      <c r="B140" s="12">
        <v>159000</v>
      </c>
      <c r="C140" s="9">
        <v>2</v>
      </c>
      <c r="D140" s="9">
        <v>264</v>
      </c>
      <c r="E140" s="9">
        <v>199516</v>
      </c>
      <c r="F140" s="9"/>
      <c r="G140" s="9"/>
      <c r="H140" s="9"/>
      <c r="I140" s="9"/>
      <c r="J140" s="9"/>
      <c r="K140" s="9"/>
      <c r="L140" s="9"/>
      <c r="M140" s="9"/>
      <c r="N140" s="9"/>
      <c r="O140" s="9"/>
      <c r="P140" s="9"/>
      <c r="Q140" s="9"/>
      <c r="R140" s="8"/>
    </row>
    <row r="141" spans="1:18">
      <c r="A141" s="12">
        <v>133</v>
      </c>
      <c r="B141" s="12">
        <v>160000</v>
      </c>
      <c r="C141" s="9">
        <v>2</v>
      </c>
      <c r="D141" s="9">
        <v>266</v>
      </c>
      <c r="E141" s="9">
        <v>202126</v>
      </c>
      <c r="F141" s="9"/>
      <c r="G141" s="9"/>
      <c r="H141" s="9"/>
      <c r="I141" s="9"/>
      <c r="J141" s="9"/>
      <c r="K141" s="9"/>
      <c r="L141" s="9"/>
      <c r="M141" s="9"/>
      <c r="N141" s="9"/>
      <c r="O141" s="9"/>
      <c r="P141" s="9"/>
      <c r="Q141" s="9"/>
      <c r="R141" s="8"/>
    </row>
    <row r="142" spans="1:18">
      <c r="A142" s="12">
        <v>134</v>
      </c>
      <c r="B142" s="12">
        <v>161000</v>
      </c>
      <c r="C142" s="9">
        <v>3</v>
      </c>
      <c r="D142" s="9">
        <v>402</v>
      </c>
      <c r="E142" s="9">
        <v>204754</v>
      </c>
      <c r="F142" s="9"/>
      <c r="G142" s="9"/>
      <c r="H142" s="9"/>
      <c r="I142" s="9"/>
      <c r="J142" s="9"/>
      <c r="K142" s="9"/>
      <c r="L142" s="9"/>
      <c r="M142" s="9"/>
      <c r="N142" s="9"/>
      <c r="O142" s="9"/>
      <c r="P142" s="9"/>
      <c r="Q142" s="9"/>
      <c r="R142" s="8"/>
    </row>
    <row r="143" spans="1:18">
      <c r="A143" s="12">
        <v>135</v>
      </c>
      <c r="B143" s="12">
        <v>162000</v>
      </c>
      <c r="C143" s="9">
        <v>3</v>
      </c>
      <c r="D143" s="9">
        <v>405</v>
      </c>
      <c r="E143" s="9">
        <v>207400</v>
      </c>
      <c r="F143" s="9"/>
      <c r="G143" s="9"/>
      <c r="H143" s="9"/>
      <c r="I143" s="9"/>
      <c r="J143" s="9"/>
      <c r="K143" s="9"/>
      <c r="L143" s="9"/>
      <c r="M143" s="9"/>
      <c r="N143" s="9"/>
      <c r="O143" s="9"/>
      <c r="P143" s="9"/>
      <c r="Q143" s="9"/>
      <c r="R143" s="8"/>
    </row>
    <row r="144" spans="1:18">
      <c r="A144" s="12">
        <v>137</v>
      </c>
      <c r="B144" s="12">
        <v>164000</v>
      </c>
      <c r="C144" s="9">
        <v>3</v>
      </c>
      <c r="D144" s="9">
        <v>411</v>
      </c>
      <c r="E144" s="9">
        <v>212746</v>
      </c>
      <c r="F144" s="9"/>
      <c r="G144" s="9"/>
      <c r="H144" s="9"/>
      <c r="I144" s="9"/>
      <c r="J144" s="9"/>
      <c r="K144" s="9"/>
      <c r="L144" s="9"/>
      <c r="M144" s="9"/>
      <c r="N144" s="9"/>
      <c r="O144" s="9"/>
      <c r="P144" s="9"/>
      <c r="Q144" s="9"/>
      <c r="R144" s="8"/>
    </row>
    <row r="145" spans="1:18">
      <c r="A145" s="12">
        <v>138</v>
      </c>
      <c r="B145" s="12">
        <v>165000</v>
      </c>
      <c r="C145" s="9">
        <v>2</v>
      </c>
      <c r="D145" s="9">
        <v>276</v>
      </c>
      <c r="E145" s="9">
        <v>215446</v>
      </c>
      <c r="F145" s="9"/>
      <c r="G145" s="9"/>
      <c r="H145" s="9"/>
      <c r="I145" s="9"/>
      <c r="J145" s="9"/>
      <c r="K145" s="9"/>
      <c r="L145" s="9"/>
      <c r="M145" s="9"/>
      <c r="N145" s="9"/>
      <c r="O145" s="9"/>
      <c r="P145" s="9"/>
      <c r="Q145" s="9"/>
      <c r="R145" s="8"/>
    </row>
    <row r="146" spans="1:18">
      <c r="A146" s="12">
        <v>139</v>
      </c>
      <c r="B146" s="12">
        <v>166000</v>
      </c>
      <c r="C146" s="9">
        <v>3</v>
      </c>
      <c r="D146" s="9">
        <v>417</v>
      </c>
      <c r="E146" s="9">
        <v>218164</v>
      </c>
      <c r="F146" s="9"/>
      <c r="G146" s="9"/>
      <c r="H146" s="9"/>
      <c r="I146" s="9"/>
      <c r="J146" s="9"/>
      <c r="K146" s="9"/>
      <c r="L146" s="9"/>
      <c r="M146" s="9"/>
      <c r="N146" s="9"/>
      <c r="O146" s="9"/>
      <c r="P146" s="9"/>
      <c r="Q146" s="9"/>
      <c r="R146" s="8"/>
    </row>
    <row r="147" spans="1:18">
      <c r="A147" s="12">
        <v>140</v>
      </c>
      <c r="B147" s="12">
        <v>167000</v>
      </c>
      <c r="C147" s="9">
        <v>1</v>
      </c>
      <c r="D147" s="9">
        <v>140</v>
      </c>
      <c r="E147" s="9">
        <v>220900</v>
      </c>
      <c r="F147" s="9">
        <v>1</v>
      </c>
      <c r="G147" s="9">
        <v>140</v>
      </c>
      <c r="H147" s="9">
        <v>220764</v>
      </c>
      <c r="I147" s="9"/>
      <c r="J147" s="9"/>
      <c r="K147" s="9"/>
      <c r="L147" s="9">
        <v>1</v>
      </c>
      <c r="M147" s="9">
        <v>140</v>
      </c>
      <c r="N147" s="9">
        <v>220764</v>
      </c>
      <c r="O147" s="9"/>
      <c r="P147" s="9"/>
      <c r="Q147" s="9"/>
      <c r="R147" s="8"/>
    </row>
    <row r="148" spans="1:18">
      <c r="A148" s="12">
        <v>141</v>
      </c>
      <c r="B148" s="12">
        <v>168000</v>
      </c>
      <c r="C148" s="9">
        <v>4</v>
      </c>
      <c r="D148" s="9">
        <v>564</v>
      </c>
      <c r="E148" s="9">
        <v>215054.5</v>
      </c>
      <c r="F148" s="9"/>
      <c r="G148" s="9"/>
      <c r="H148" s="9"/>
      <c r="I148" s="9"/>
      <c r="J148" s="9"/>
      <c r="K148" s="9"/>
      <c r="L148" s="9"/>
      <c r="M148" s="9"/>
      <c r="N148" s="9"/>
      <c r="O148" s="9"/>
      <c r="P148" s="9"/>
      <c r="Q148" s="9"/>
      <c r="R148" s="8"/>
    </row>
    <row r="149" spans="1:18">
      <c r="A149" s="12">
        <v>142</v>
      </c>
      <c r="B149" s="12">
        <v>169000</v>
      </c>
      <c r="C149" s="9">
        <v>2</v>
      </c>
      <c r="D149" s="9">
        <v>284</v>
      </c>
      <c r="E149" s="9">
        <v>226426</v>
      </c>
      <c r="F149" s="9"/>
      <c r="G149" s="9"/>
      <c r="H149" s="9"/>
      <c r="I149" s="9"/>
      <c r="J149" s="9"/>
      <c r="K149" s="9"/>
      <c r="L149" s="9"/>
      <c r="M149" s="9"/>
      <c r="N149" s="9"/>
      <c r="O149" s="9"/>
      <c r="P149" s="9"/>
      <c r="Q149" s="9"/>
      <c r="R149" s="8"/>
    </row>
    <row r="150" spans="1:18">
      <c r="A150" s="12">
        <v>143</v>
      </c>
      <c r="B150" s="12">
        <v>170000</v>
      </c>
      <c r="C150" s="9">
        <v>1</v>
      </c>
      <c r="D150" s="9">
        <v>143</v>
      </c>
      <c r="E150" s="9">
        <v>229216</v>
      </c>
      <c r="F150" s="9"/>
      <c r="G150" s="9"/>
      <c r="H150" s="9"/>
      <c r="I150" s="9"/>
      <c r="J150" s="9"/>
      <c r="K150" s="9"/>
      <c r="L150" s="9"/>
      <c r="M150" s="9"/>
      <c r="N150" s="9"/>
      <c r="O150" s="9"/>
      <c r="P150" s="9"/>
      <c r="Q150" s="9"/>
      <c r="R150" s="8"/>
    </row>
    <row r="151" spans="1:18">
      <c r="A151" s="12">
        <v>144</v>
      </c>
      <c r="B151" s="12">
        <v>171000</v>
      </c>
      <c r="C151" s="9">
        <v>2</v>
      </c>
      <c r="D151" s="9">
        <v>288</v>
      </c>
      <c r="E151" s="9">
        <v>232024</v>
      </c>
      <c r="F151" s="9"/>
      <c r="G151" s="9"/>
      <c r="H151" s="9"/>
      <c r="I151" s="9"/>
      <c r="J151" s="9"/>
      <c r="K151" s="9"/>
      <c r="L151" s="9"/>
      <c r="M151" s="9"/>
      <c r="N151" s="9"/>
      <c r="O151" s="9"/>
      <c r="P151" s="9"/>
      <c r="Q151" s="9"/>
      <c r="R151" s="8"/>
    </row>
    <row r="152" spans="1:18">
      <c r="A152" s="12">
        <v>145</v>
      </c>
      <c r="B152" s="12">
        <v>172000</v>
      </c>
      <c r="C152" s="9">
        <v>1</v>
      </c>
      <c r="D152" s="9">
        <v>145</v>
      </c>
      <c r="E152" s="9">
        <v>234850</v>
      </c>
      <c r="F152" s="9"/>
      <c r="G152" s="9"/>
      <c r="H152" s="9"/>
      <c r="I152" s="9"/>
      <c r="J152" s="9"/>
      <c r="K152" s="9"/>
      <c r="L152" s="9"/>
      <c r="M152" s="9"/>
      <c r="N152" s="9"/>
      <c r="O152" s="9"/>
      <c r="P152" s="9"/>
      <c r="Q152" s="9"/>
      <c r="R152" s="8"/>
    </row>
    <row r="153" spans="1:18">
      <c r="A153" s="12">
        <v>146</v>
      </c>
      <c r="B153" s="12">
        <v>173000</v>
      </c>
      <c r="C153" s="9">
        <v>3</v>
      </c>
      <c r="D153" s="9">
        <v>438</v>
      </c>
      <c r="E153" s="9">
        <v>237694</v>
      </c>
      <c r="F153" s="9"/>
      <c r="G153" s="9"/>
      <c r="H153" s="9"/>
      <c r="I153" s="9"/>
      <c r="J153" s="9"/>
      <c r="K153" s="9"/>
      <c r="L153" s="9"/>
      <c r="M153" s="9"/>
      <c r="N153" s="9"/>
      <c r="O153" s="9"/>
      <c r="P153" s="9"/>
      <c r="Q153" s="9"/>
      <c r="R153" s="8"/>
    </row>
    <row r="154" spans="1:18">
      <c r="A154" s="12">
        <v>147</v>
      </c>
      <c r="B154" s="12">
        <v>174000</v>
      </c>
      <c r="C154" s="9">
        <v>1</v>
      </c>
      <c r="D154" s="9">
        <v>147</v>
      </c>
      <c r="E154" s="9">
        <v>240556</v>
      </c>
      <c r="F154" s="9"/>
      <c r="G154" s="9"/>
      <c r="H154" s="9"/>
      <c r="I154" s="9"/>
      <c r="J154" s="9"/>
      <c r="K154" s="9"/>
      <c r="L154" s="9"/>
      <c r="M154" s="9"/>
      <c r="N154" s="9"/>
      <c r="O154" s="9"/>
      <c r="P154" s="9"/>
      <c r="Q154" s="9"/>
      <c r="R154" s="8"/>
    </row>
    <row r="155" spans="1:18">
      <c r="A155" s="12">
        <v>148</v>
      </c>
      <c r="B155" s="12">
        <v>175000</v>
      </c>
      <c r="C155" s="9">
        <v>1</v>
      </c>
      <c r="D155" s="9">
        <v>148</v>
      </c>
      <c r="E155" s="9">
        <v>243436</v>
      </c>
      <c r="F155" s="9"/>
      <c r="G155" s="9"/>
      <c r="H155" s="9"/>
      <c r="I155" s="9"/>
      <c r="J155" s="9"/>
      <c r="K155" s="9"/>
      <c r="L155" s="9"/>
      <c r="M155" s="9"/>
      <c r="N155" s="9"/>
      <c r="O155" s="9"/>
      <c r="P155" s="9"/>
      <c r="Q155" s="9"/>
      <c r="R155" s="8"/>
    </row>
    <row r="156" spans="1:18">
      <c r="A156" s="12">
        <v>150</v>
      </c>
      <c r="B156" s="12">
        <v>177000</v>
      </c>
      <c r="C156" s="9">
        <v>4</v>
      </c>
      <c r="D156" s="9">
        <v>600</v>
      </c>
      <c r="E156" s="9">
        <v>249250</v>
      </c>
      <c r="F156" s="9"/>
      <c r="G156" s="9"/>
      <c r="H156" s="9"/>
      <c r="I156" s="9"/>
      <c r="J156" s="9"/>
      <c r="K156" s="9"/>
      <c r="L156" s="9"/>
      <c r="M156" s="9"/>
      <c r="N156" s="9"/>
      <c r="O156" s="9"/>
      <c r="P156" s="9"/>
      <c r="Q156" s="9"/>
      <c r="R156" s="8"/>
    </row>
    <row r="157" spans="1:18">
      <c r="A157" s="12">
        <v>151</v>
      </c>
      <c r="B157" s="12">
        <v>178000</v>
      </c>
      <c r="C157" s="9"/>
      <c r="D157" s="9"/>
      <c r="E157" s="9"/>
      <c r="F157" s="9"/>
      <c r="G157" s="9"/>
      <c r="H157" s="9"/>
      <c r="I157" s="9"/>
      <c r="J157" s="9"/>
      <c r="K157" s="9"/>
      <c r="L157" s="9"/>
      <c r="M157" s="9"/>
      <c r="N157" s="9"/>
      <c r="O157" s="9"/>
      <c r="P157" s="9"/>
      <c r="Q157" s="9"/>
      <c r="R157" s="8"/>
    </row>
    <row r="158" spans="1:18">
      <c r="A158" s="12">
        <v>152</v>
      </c>
      <c r="B158" s="12">
        <v>179000</v>
      </c>
      <c r="C158" s="9">
        <v>3</v>
      </c>
      <c r="D158" s="9">
        <v>456</v>
      </c>
      <c r="E158" s="9">
        <v>255136</v>
      </c>
      <c r="F158" s="9"/>
      <c r="G158" s="9"/>
      <c r="H158" s="9"/>
      <c r="I158" s="9"/>
      <c r="J158" s="9"/>
      <c r="K158" s="9"/>
      <c r="L158" s="9"/>
      <c r="M158" s="9"/>
      <c r="N158" s="9"/>
      <c r="O158" s="9"/>
      <c r="P158" s="9"/>
      <c r="Q158" s="9"/>
      <c r="R158" s="8"/>
    </row>
    <row r="159" spans="1:18">
      <c r="A159" s="12">
        <v>153</v>
      </c>
      <c r="B159" s="12">
        <v>180000</v>
      </c>
      <c r="C159" s="9">
        <v>3</v>
      </c>
      <c r="D159" s="9">
        <v>459</v>
      </c>
      <c r="E159" s="9">
        <v>258106</v>
      </c>
      <c r="F159" s="9"/>
      <c r="G159" s="9"/>
      <c r="H159" s="9"/>
      <c r="I159" s="9"/>
      <c r="J159" s="9"/>
      <c r="K159" s="9"/>
      <c r="L159" s="9"/>
      <c r="M159" s="9"/>
      <c r="N159" s="9"/>
      <c r="O159" s="9"/>
      <c r="P159" s="9"/>
      <c r="Q159" s="9"/>
      <c r="R159" s="8"/>
    </row>
    <row r="160" spans="1:18">
      <c r="A160" s="12">
        <v>155</v>
      </c>
      <c r="B160" s="12">
        <v>182000</v>
      </c>
      <c r="C160" s="9">
        <v>3</v>
      </c>
      <c r="D160" s="9">
        <v>465</v>
      </c>
      <c r="E160" s="9">
        <v>264100</v>
      </c>
      <c r="F160" s="9">
        <v>1</v>
      </c>
      <c r="G160" s="9">
        <v>155</v>
      </c>
      <c r="H160" s="9">
        <v>266700</v>
      </c>
      <c r="I160" s="9"/>
      <c r="J160" s="9"/>
      <c r="K160" s="9"/>
      <c r="L160" s="9">
        <v>1</v>
      </c>
      <c r="M160" s="9">
        <v>155</v>
      </c>
      <c r="N160" s="9">
        <v>266700</v>
      </c>
      <c r="O160" s="9"/>
      <c r="P160" s="9"/>
      <c r="Q160" s="9"/>
      <c r="R160" s="8"/>
    </row>
    <row r="161" spans="1:18">
      <c r="A161" s="12">
        <v>156</v>
      </c>
      <c r="B161" s="12">
        <v>183000</v>
      </c>
      <c r="C161" s="9">
        <v>1</v>
      </c>
      <c r="D161" s="9">
        <v>156</v>
      </c>
      <c r="E161" s="9">
        <v>267124</v>
      </c>
      <c r="F161" s="9"/>
      <c r="G161" s="9"/>
      <c r="H161" s="9"/>
      <c r="I161" s="9"/>
      <c r="J161" s="9"/>
      <c r="K161" s="9"/>
      <c r="L161" s="9"/>
      <c r="M161" s="9"/>
      <c r="N161" s="9"/>
      <c r="O161" s="9"/>
      <c r="P161" s="9"/>
      <c r="Q161" s="9"/>
      <c r="R161" s="8"/>
    </row>
    <row r="162" spans="1:18">
      <c r="A162" s="12">
        <v>157</v>
      </c>
      <c r="B162" s="12">
        <v>184000</v>
      </c>
      <c r="C162" s="9">
        <v>1</v>
      </c>
      <c r="D162" s="9">
        <v>157</v>
      </c>
      <c r="E162" s="9">
        <v>270166</v>
      </c>
      <c r="F162" s="9"/>
      <c r="G162" s="9"/>
      <c r="H162" s="9"/>
      <c r="I162" s="9"/>
      <c r="J162" s="9"/>
      <c r="K162" s="9"/>
      <c r="L162" s="9"/>
      <c r="M162" s="9"/>
      <c r="N162" s="9"/>
      <c r="O162" s="9"/>
      <c r="P162" s="9"/>
      <c r="Q162" s="9"/>
      <c r="R162" s="8"/>
    </row>
    <row r="163" spans="1:18">
      <c r="A163" s="12">
        <v>158</v>
      </c>
      <c r="B163" s="12">
        <v>185000</v>
      </c>
      <c r="C163" s="9">
        <v>2</v>
      </c>
      <c r="D163" s="9">
        <v>316</v>
      </c>
      <c r="E163" s="9">
        <v>273226</v>
      </c>
      <c r="F163" s="9"/>
      <c r="G163" s="9"/>
      <c r="H163" s="9"/>
      <c r="I163" s="9"/>
      <c r="J163" s="9"/>
      <c r="K163" s="9"/>
      <c r="L163" s="9"/>
      <c r="M163" s="9"/>
      <c r="N163" s="9"/>
      <c r="O163" s="9"/>
      <c r="P163" s="9"/>
      <c r="Q163" s="9"/>
      <c r="R163" s="8"/>
    </row>
    <row r="164" spans="1:18">
      <c r="A164" s="12">
        <v>159</v>
      </c>
      <c r="B164" s="12">
        <v>186000</v>
      </c>
      <c r="C164" s="9">
        <v>1</v>
      </c>
      <c r="D164" s="9">
        <v>159</v>
      </c>
      <c r="E164" s="9">
        <v>276304</v>
      </c>
      <c r="F164" s="9"/>
      <c r="G164" s="9"/>
      <c r="H164" s="9"/>
      <c r="I164" s="9"/>
      <c r="J164" s="9"/>
      <c r="K164" s="9"/>
      <c r="L164" s="9"/>
      <c r="M164" s="9"/>
      <c r="N164" s="9"/>
      <c r="O164" s="9"/>
      <c r="P164" s="9"/>
      <c r="Q164" s="9"/>
      <c r="R164" s="8"/>
    </row>
    <row r="165" spans="1:18">
      <c r="A165" s="12">
        <v>160</v>
      </c>
      <c r="B165" s="12">
        <v>187000</v>
      </c>
      <c r="C165" s="9">
        <v>1</v>
      </c>
      <c r="D165" s="9">
        <v>160</v>
      </c>
      <c r="E165" s="9">
        <v>279400</v>
      </c>
      <c r="F165" s="9"/>
      <c r="G165" s="9"/>
      <c r="H165" s="9"/>
      <c r="I165" s="9"/>
      <c r="J165" s="9"/>
      <c r="K165" s="9"/>
      <c r="L165" s="9"/>
      <c r="M165" s="9"/>
      <c r="N165" s="9"/>
      <c r="O165" s="9"/>
      <c r="P165" s="9"/>
      <c r="Q165" s="9"/>
      <c r="R165" s="8"/>
    </row>
    <row r="166" spans="1:18">
      <c r="A166" s="12">
        <v>167</v>
      </c>
      <c r="B166" s="12">
        <v>194000</v>
      </c>
      <c r="C166" s="9">
        <v>2</v>
      </c>
      <c r="D166" s="9">
        <v>334</v>
      </c>
      <c r="E166" s="9">
        <v>301576</v>
      </c>
      <c r="F166" s="9"/>
      <c r="G166" s="9"/>
      <c r="H166" s="9"/>
      <c r="I166" s="9"/>
      <c r="J166" s="9"/>
      <c r="K166" s="9"/>
      <c r="L166" s="9"/>
      <c r="M166" s="9"/>
      <c r="N166" s="9"/>
      <c r="O166" s="9"/>
      <c r="P166" s="9"/>
      <c r="Q166" s="9"/>
      <c r="R166" s="8"/>
    </row>
    <row r="167" spans="1:18">
      <c r="A167" s="12">
        <v>168</v>
      </c>
      <c r="B167" s="12">
        <v>195000</v>
      </c>
      <c r="C167" s="9">
        <v>1</v>
      </c>
      <c r="D167" s="9">
        <v>168</v>
      </c>
      <c r="E167" s="9">
        <v>195000</v>
      </c>
      <c r="F167" s="9"/>
      <c r="G167" s="9"/>
      <c r="H167" s="9"/>
      <c r="I167" s="9"/>
      <c r="J167" s="9"/>
      <c r="K167" s="9"/>
      <c r="L167" s="9"/>
      <c r="M167" s="9"/>
      <c r="N167" s="9"/>
      <c r="O167" s="9"/>
      <c r="P167" s="9"/>
      <c r="Q167" s="9"/>
      <c r="R167" s="8"/>
    </row>
    <row r="168" spans="1:18">
      <c r="A168" s="12">
        <v>170</v>
      </c>
      <c r="B168" s="12">
        <v>197000</v>
      </c>
      <c r="C168" s="9">
        <v>1</v>
      </c>
      <c r="D168" s="9">
        <v>170</v>
      </c>
      <c r="E168" s="9">
        <v>311350</v>
      </c>
      <c r="F168" s="9"/>
      <c r="G168" s="9"/>
      <c r="H168" s="9"/>
      <c r="I168" s="9"/>
      <c r="J168" s="9"/>
      <c r="K168" s="9"/>
      <c r="L168" s="9"/>
      <c r="M168" s="9"/>
      <c r="N168" s="9"/>
      <c r="O168" s="9"/>
      <c r="P168" s="9"/>
      <c r="Q168" s="9"/>
      <c r="R168" s="8"/>
    </row>
    <row r="169" spans="1:18">
      <c r="A169" s="12">
        <v>179</v>
      </c>
      <c r="B169" s="12">
        <v>206000</v>
      </c>
      <c r="C169" s="9"/>
      <c r="D169" s="9"/>
      <c r="E169" s="9"/>
      <c r="F169" s="9">
        <v>1</v>
      </c>
      <c r="G169" s="9">
        <v>179</v>
      </c>
      <c r="H169" s="9">
        <v>344244</v>
      </c>
      <c r="I169" s="9"/>
      <c r="J169" s="9"/>
      <c r="K169" s="9"/>
      <c r="L169" s="9">
        <v>1</v>
      </c>
      <c r="M169" s="9">
        <v>179</v>
      </c>
      <c r="N169" s="9">
        <v>344244</v>
      </c>
      <c r="O169" s="9"/>
      <c r="P169" s="9"/>
      <c r="Q169" s="9"/>
      <c r="R169" s="8"/>
    </row>
    <row r="170" spans="1:18">
      <c r="A170" s="2"/>
      <c r="B170" s="2"/>
      <c r="C170" s="10">
        <v>347231</v>
      </c>
      <c r="D170" s="10">
        <v>11198524</v>
      </c>
      <c r="E170" s="10">
        <v>44451.004328530573</v>
      </c>
      <c r="F170" s="10">
        <v>108138</v>
      </c>
      <c r="G170" s="10">
        <v>2844847</v>
      </c>
      <c r="H170" s="10">
        <v>41192.343422293736</v>
      </c>
      <c r="I170" s="10">
        <v>4606</v>
      </c>
      <c r="J170" s="10">
        <v>116931</v>
      </c>
      <c r="K170" s="10">
        <v>46112.295049934866</v>
      </c>
      <c r="L170" s="10">
        <v>43474</v>
      </c>
      <c r="M170" s="10">
        <v>1195587</v>
      </c>
      <c r="N170" s="10">
        <v>44155.284560886968</v>
      </c>
      <c r="O170" s="10">
        <v>60058</v>
      </c>
      <c r="P170" s="10">
        <v>1532329</v>
      </c>
      <c r="Q170" s="10">
        <v>38670.244780045956</v>
      </c>
    </row>
  </sheetData>
  <mergeCells count="5">
    <mergeCell ref="I6:K6"/>
    <mergeCell ref="L6:N6"/>
    <mergeCell ref="O6:Q6"/>
    <mergeCell ref="F6:H6"/>
    <mergeCell ref="C6:E6"/>
  </mergeCells>
  <pageMargins left="0" right="0" top="0" bottom="0" header="0.31496062992126" footer="0.31496062992126"/>
  <pageSetup paperSize="9" scale="70" orientation="landscape"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5:C12"/>
  <sheetViews>
    <sheetView workbookViewId="0">
      <selection activeCell="A74" sqref="A74:IV74"/>
    </sheetView>
  </sheetViews>
  <sheetFormatPr defaultColWidth="8.85546875" defaultRowHeight="15"/>
  <cols>
    <col min="2" max="2" width="38.7109375" bestFit="1" customWidth="1"/>
    <col min="3" max="3" width="23.42578125" customWidth="1"/>
  </cols>
  <sheetData>
    <row r="5" spans="2:3">
      <c r="B5" s="13" t="s">
        <v>2</v>
      </c>
    </row>
    <row r="6" spans="2:3">
      <c r="B6" s="622" t="s">
        <v>11</v>
      </c>
      <c r="C6" s="18" t="s">
        <v>12</v>
      </c>
    </row>
    <row r="7" spans="2:3">
      <c r="B7" s="622"/>
      <c r="C7" s="14" t="s">
        <v>13</v>
      </c>
    </row>
    <row r="8" spans="2:3">
      <c r="B8" s="15">
        <v>1</v>
      </c>
      <c r="C8" s="14">
        <v>2</v>
      </c>
    </row>
    <row r="9" spans="2:3">
      <c r="B9" s="16" t="s">
        <v>14</v>
      </c>
      <c r="C9" s="16">
        <v>10540</v>
      </c>
    </row>
    <row r="10" spans="2:3">
      <c r="B10" s="16" t="s">
        <v>15</v>
      </c>
      <c r="C10" s="16">
        <v>54942</v>
      </c>
    </row>
    <row r="11" spans="2:3">
      <c r="B11" s="16" t="s">
        <v>16</v>
      </c>
      <c r="C11" s="16">
        <v>13121</v>
      </c>
    </row>
    <row r="12" spans="2:3">
      <c r="B12" s="17" t="s">
        <v>17</v>
      </c>
      <c r="C12" s="17">
        <f>SUM(C9:C11)</f>
        <v>78603</v>
      </c>
    </row>
  </sheetData>
  <mergeCells count="1">
    <mergeCell ref="B6:B7"/>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5:J171"/>
  <sheetViews>
    <sheetView topLeftCell="A137" workbookViewId="0">
      <selection activeCell="A74" sqref="A74:IV74"/>
    </sheetView>
  </sheetViews>
  <sheetFormatPr defaultColWidth="8.85546875" defaultRowHeight="15"/>
  <cols>
    <col min="1" max="1" width="5.85546875" bestFit="1" customWidth="1"/>
    <col min="2" max="2" width="8.85546875" bestFit="1" customWidth="1"/>
    <col min="3" max="3" width="12.42578125" bestFit="1" customWidth="1"/>
    <col min="4" max="4" width="9.7109375" bestFit="1" customWidth="1"/>
    <col min="5" max="5" width="8.42578125" bestFit="1" customWidth="1"/>
    <col min="6" max="6" width="12.42578125" bestFit="1" customWidth="1"/>
    <col min="7" max="7" width="9.7109375" bestFit="1" customWidth="1"/>
    <col min="8" max="8" width="8.42578125" bestFit="1" customWidth="1"/>
    <col min="9" max="9" width="12.7109375" bestFit="1" customWidth="1"/>
    <col min="10" max="10" width="9.7109375" bestFit="1" customWidth="1"/>
  </cols>
  <sheetData>
    <row r="5" spans="1:10">
      <c r="B5" s="3" t="s">
        <v>2</v>
      </c>
    </row>
    <row r="6" spans="1:10">
      <c r="A6" s="19"/>
      <c r="B6" s="618" t="s">
        <v>18</v>
      </c>
      <c r="C6" s="621"/>
      <c r="D6" s="619"/>
      <c r="E6" s="618" t="s">
        <v>19</v>
      </c>
      <c r="F6" s="621"/>
      <c r="G6" s="619"/>
      <c r="H6" s="620" t="s">
        <v>20</v>
      </c>
      <c r="I6" s="620"/>
      <c r="J6" s="620"/>
    </row>
    <row r="7" spans="1:10" ht="27">
      <c r="A7" s="4" t="s">
        <v>0</v>
      </c>
      <c r="B7" s="4" t="s">
        <v>1</v>
      </c>
      <c r="C7" s="4" t="s">
        <v>4</v>
      </c>
      <c r="D7" s="4" t="s">
        <v>7</v>
      </c>
      <c r="E7" s="4" t="s">
        <v>1</v>
      </c>
      <c r="F7" s="4" t="s">
        <v>4</v>
      </c>
      <c r="G7" s="4" t="s">
        <v>7</v>
      </c>
      <c r="H7" s="20" t="s">
        <v>1</v>
      </c>
      <c r="I7" s="20" t="s">
        <v>21</v>
      </c>
      <c r="J7" s="4" t="s">
        <v>7</v>
      </c>
    </row>
    <row r="8" spans="1:10">
      <c r="A8" s="1">
        <v>0</v>
      </c>
      <c r="B8" s="1">
        <v>9</v>
      </c>
      <c r="C8" s="1">
        <v>0</v>
      </c>
      <c r="D8" s="9">
        <v>26500</v>
      </c>
      <c r="E8" s="9">
        <v>9</v>
      </c>
      <c r="F8" s="9">
        <v>0</v>
      </c>
      <c r="G8" s="9">
        <v>26500</v>
      </c>
      <c r="H8" s="9"/>
      <c r="I8" s="9"/>
      <c r="J8" s="9"/>
    </row>
    <row r="9" spans="1:10">
      <c r="A9" s="1">
        <v>1</v>
      </c>
      <c r="B9" s="1">
        <v>9</v>
      </c>
      <c r="C9" s="1">
        <v>9</v>
      </c>
      <c r="D9" s="9">
        <v>26500</v>
      </c>
      <c r="E9" s="9">
        <v>9</v>
      </c>
      <c r="F9" s="9">
        <v>9</v>
      </c>
      <c r="G9" s="9">
        <v>26500</v>
      </c>
      <c r="H9" s="9"/>
      <c r="I9" s="9"/>
      <c r="J9" s="9"/>
    </row>
    <row r="10" spans="1:10">
      <c r="A10" s="1">
        <v>2</v>
      </c>
      <c r="B10" s="1">
        <v>9</v>
      </c>
      <c r="C10" s="1">
        <v>18</v>
      </c>
      <c r="D10" s="9">
        <v>26500</v>
      </c>
      <c r="E10" s="9">
        <v>9</v>
      </c>
      <c r="F10" s="9">
        <v>18</v>
      </c>
      <c r="G10" s="9">
        <v>26500</v>
      </c>
      <c r="H10" s="9"/>
      <c r="I10" s="9"/>
      <c r="J10" s="9"/>
    </row>
    <row r="11" spans="1:10">
      <c r="A11" s="1">
        <v>3</v>
      </c>
      <c r="B11" s="1">
        <v>26</v>
      </c>
      <c r="C11" s="1">
        <v>78</v>
      </c>
      <c r="D11" s="9">
        <v>26500</v>
      </c>
      <c r="E11" s="9">
        <v>26</v>
      </c>
      <c r="F11" s="9">
        <v>78</v>
      </c>
      <c r="G11" s="9">
        <v>26500</v>
      </c>
      <c r="H11" s="9"/>
      <c r="I11" s="9"/>
      <c r="J11" s="9"/>
    </row>
    <row r="12" spans="1:10">
      <c r="A12" s="1">
        <v>4</v>
      </c>
      <c r="B12" s="1">
        <v>32</v>
      </c>
      <c r="C12" s="1">
        <v>128</v>
      </c>
      <c r="D12" s="9">
        <v>26500</v>
      </c>
      <c r="E12" s="9">
        <v>32</v>
      </c>
      <c r="F12" s="9">
        <v>128</v>
      </c>
      <c r="G12" s="9">
        <v>26500</v>
      </c>
      <c r="H12" s="9"/>
      <c r="I12" s="9"/>
      <c r="J12" s="9"/>
    </row>
    <row r="13" spans="1:10">
      <c r="A13" s="1">
        <v>5</v>
      </c>
      <c r="B13" s="1">
        <v>59</v>
      </c>
      <c r="C13" s="1">
        <v>295</v>
      </c>
      <c r="D13" s="9">
        <v>26500</v>
      </c>
      <c r="E13" s="9">
        <v>59</v>
      </c>
      <c r="F13" s="9">
        <v>295</v>
      </c>
      <c r="G13" s="9">
        <v>26500</v>
      </c>
      <c r="H13" s="9"/>
      <c r="I13" s="9"/>
      <c r="J13" s="9"/>
    </row>
    <row r="14" spans="1:10">
      <c r="A14" s="1">
        <v>6</v>
      </c>
      <c r="B14" s="1">
        <v>96</v>
      </c>
      <c r="C14" s="1">
        <v>576</v>
      </c>
      <c r="D14" s="9">
        <v>28537.8125</v>
      </c>
      <c r="E14" s="9">
        <v>93</v>
      </c>
      <c r="F14" s="9">
        <v>558</v>
      </c>
      <c r="G14" s="9">
        <v>26500</v>
      </c>
      <c r="H14" s="9">
        <v>3</v>
      </c>
      <c r="I14" s="9">
        <v>18</v>
      </c>
      <c r="J14" s="9">
        <v>91710</v>
      </c>
    </row>
    <row r="15" spans="1:10">
      <c r="A15" s="1">
        <v>7</v>
      </c>
      <c r="B15" s="1">
        <v>113</v>
      </c>
      <c r="C15" s="1">
        <v>791</v>
      </c>
      <c r="D15" s="9">
        <v>29995.24778761062</v>
      </c>
      <c r="E15" s="9">
        <v>107</v>
      </c>
      <c r="F15" s="9">
        <v>749</v>
      </c>
      <c r="G15" s="9">
        <v>26500</v>
      </c>
      <c r="H15" s="9">
        <v>6</v>
      </c>
      <c r="I15" s="9">
        <v>42</v>
      </c>
      <c r="J15" s="9">
        <v>92327.166666666672</v>
      </c>
    </row>
    <row r="16" spans="1:10">
      <c r="A16" s="1">
        <v>8</v>
      </c>
      <c r="B16" s="1">
        <v>168</v>
      </c>
      <c r="C16" s="1">
        <v>1344</v>
      </c>
      <c r="D16" s="9">
        <v>27283.095238095237</v>
      </c>
      <c r="E16" s="9">
        <v>166</v>
      </c>
      <c r="F16" s="9">
        <v>1328</v>
      </c>
      <c r="G16" s="9">
        <v>26500</v>
      </c>
      <c r="H16" s="9">
        <v>2</v>
      </c>
      <c r="I16" s="9">
        <v>16</v>
      </c>
      <c r="J16" s="9">
        <v>92280</v>
      </c>
    </row>
    <row r="17" spans="1:10">
      <c r="A17" s="1">
        <v>9</v>
      </c>
      <c r="B17" s="1">
        <v>181</v>
      </c>
      <c r="C17" s="1">
        <v>1629</v>
      </c>
      <c r="D17" s="9">
        <v>28348.613259668509</v>
      </c>
      <c r="E17" s="9">
        <v>176</v>
      </c>
      <c r="F17" s="9">
        <v>1584</v>
      </c>
      <c r="G17" s="9">
        <v>26500</v>
      </c>
      <c r="H17" s="9">
        <v>5</v>
      </c>
      <c r="I17" s="9">
        <v>45</v>
      </c>
      <c r="J17" s="9">
        <v>93419.8</v>
      </c>
    </row>
    <row r="18" spans="1:10">
      <c r="A18" s="1">
        <v>10</v>
      </c>
      <c r="B18" s="1">
        <v>314</v>
      </c>
      <c r="C18" s="1">
        <v>3140</v>
      </c>
      <c r="D18" s="9">
        <v>27369.426751592357</v>
      </c>
      <c r="E18" s="9">
        <v>310</v>
      </c>
      <c r="F18" s="9">
        <v>3100</v>
      </c>
      <c r="G18" s="9">
        <v>26500</v>
      </c>
      <c r="H18" s="9">
        <v>4</v>
      </c>
      <c r="I18" s="9">
        <v>40</v>
      </c>
      <c r="J18" s="9">
        <v>94750</v>
      </c>
    </row>
    <row r="19" spans="1:10">
      <c r="A19" s="1">
        <v>11</v>
      </c>
      <c r="B19" s="1">
        <v>276</v>
      </c>
      <c r="C19" s="1">
        <v>3036</v>
      </c>
      <c r="D19" s="9">
        <v>27245.108695652172</v>
      </c>
      <c r="E19" s="9">
        <v>273</v>
      </c>
      <c r="F19" s="9">
        <v>3003</v>
      </c>
      <c r="G19" s="9">
        <v>26500</v>
      </c>
      <c r="H19" s="9">
        <v>3</v>
      </c>
      <c r="I19" s="9">
        <v>33</v>
      </c>
      <c r="J19" s="9">
        <v>95050</v>
      </c>
    </row>
    <row r="20" spans="1:10">
      <c r="A20" s="1">
        <v>12</v>
      </c>
      <c r="B20" s="1">
        <v>279</v>
      </c>
      <c r="C20" s="1">
        <v>3348</v>
      </c>
      <c r="D20" s="9">
        <v>26988.283154121862</v>
      </c>
      <c r="E20" s="9">
        <v>277</v>
      </c>
      <c r="F20" s="9">
        <v>3324</v>
      </c>
      <c r="G20" s="9">
        <v>26500</v>
      </c>
      <c r="H20" s="9">
        <v>2</v>
      </c>
      <c r="I20" s="9">
        <v>24</v>
      </c>
      <c r="J20" s="9">
        <v>94615.5</v>
      </c>
    </row>
    <row r="21" spans="1:10">
      <c r="A21" s="1">
        <v>13</v>
      </c>
      <c r="B21" s="1">
        <v>327</v>
      </c>
      <c r="C21" s="1">
        <v>4251</v>
      </c>
      <c r="D21" s="9">
        <v>26923.027522935779</v>
      </c>
      <c r="E21" s="9">
        <v>325</v>
      </c>
      <c r="F21" s="9">
        <v>4225</v>
      </c>
      <c r="G21" s="9">
        <v>26500</v>
      </c>
      <c r="H21" s="9">
        <v>2</v>
      </c>
      <c r="I21" s="9">
        <v>26</v>
      </c>
      <c r="J21" s="9">
        <v>95665</v>
      </c>
    </row>
    <row r="22" spans="1:10">
      <c r="A22" s="1">
        <v>14</v>
      </c>
      <c r="B22" s="1">
        <v>247</v>
      </c>
      <c r="C22" s="1">
        <v>3458</v>
      </c>
      <c r="D22" s="9">
        <v>27062.591093117408</v>
      </c>
      <c r="E22" s="9">
        <v>245</v>
      </c>
      <c r="F22" s="9">
        <v>3430</v>
      </c>
      <c r="G22" s="9">
        <v>26500</v>
      </c>
      <c r="H22" s="9">
        <v>2</v>
      </c>
      <c r="I22" s="9">
        <v>28</v>
      </c>
      <c r="J22" s="9">
        <v>95980</v>
      </c>
    </row>
    <row r="23" spans="1:10">
      <c r="A23" s="1">
        <v>15</v>
      </c>
      <c r="B23" s="1">
        <v>242</v>
      </c>
      <c r="C23" s="1">
        <v>3630</v>
      </c>
      <c r="D23" s="9">
        <v>27365.289256198346</v>
      </c>
      <c r="E23" s="9">
        <v>239</v>
      </c>
      <c r="F23" s="9">
        <v>3585</v>
      </c>
      <c r="G23" s="9">
        <v>26500</v>
      </c>
      <c r="H23" s="9">
        <v>3</v>
      </c>
      <c r="I23" s="9">
        <v>45</v>
      </c>
      <c r="J23" s="9">
        <v>96300</v>
      </c>
    </row>
    <row r="24" spans="1:10">
      <c r="A24" s="1">
        <v>16</v>
      </c>
      <c r="B24" s="1">
        <v>288</v>
      </c>
      <c r="C24" s="1">
        <v>4608</v>
      </c>
      <c r="D24" s="9">
        <v>27959.375</v>
      </c>
      <c r="E24" s="9">
        <v>282</v>
      </c>
      <c r="F24" s="9">
        <v>4512</v>
      </c>
      <c r="G24" s="9">
        <v>26500</v>
      </c>
      <c r="H24" s="9">
        <v>6</v>
      </c>
      <c r="I24" s="9">
        <v>96</v>
      </c>
      <c r="J24" s="9">
        <v>96550</v>
      </c>
    </row>
    <row r="25" spans="1:10">
      <c r="A25" s="1">
        <v>17</v>
      </c>
      <c r="B25" s="1">
        <v>198</v>
      </c>
      <c r="C25" s="1">
        <v>3366</v>
      </c>
      <c r="D25" s="9">
        <v>27567.5</v>
      </c>
      <c r="E25" s="9">
        <v>195</v>
      </c>
      <c r="F25" s="9">
        <v>3315</v>
      </c>
      <c r="G25" s="9">
        <v>26500</v>
      </c>
      <c r="H25" s="9">
        <v>3</v>
      </c>
      <c r="I25" s="9">
        <v>51</v>
      </c>
      <c r="J25" s="9">
        <v>96955</v>
      </c>
    </row>
    <row r="26" spans="1:10">
      <c r="A26" s="1">
        <v>18</v>
      </c>
      <c r="B26" s="1">
        <v>226</v>
      </c>
      <c r="C26" s="1">
        <v>4068</v>
      </c>
      <c r="D26" s="9">
        <v>27740.973451327434</v>
      </c>
      <c r="E26" s="9">
        <v>222</v>
      </c>
      <c r="F26" s="9">
        <v>3996</v>
      </c>
      <c r="G26" s="9">
        <v>26500</v>
      </c>
      <c r="H26" s="9">
        <v>4</v>
      </c>
      <c r="I26" s="9">
        <v>72</v>
      </c>
      <c r="J26" s="9">
        <v>96615</v>
      </c>
    </row>
    <row r="27" spans="1:10">
      <c r="A27" s="1">
        <v>19</v>
      </c>
      <c r="B27" s="1">
        <v>203</v>
      </c>
      <c r="C27" s="1">
        <v>3857</v>
      </c>
      <c r="D27" s="9">
        <v>28607.133004926109</v>
      </c>
      <c r="E27" s="9">
        <v>197</v>
      </c>
      <c r="F27" s="9">
        <v>3743</v>
      </c>
      <c r="G27" s="9">
        <v>26500</v>
      </c>
      <c r="H27" s="9">
        <v>6</v>
      </c>
      <c r="I27" s="9">
        <v>114</v>
      </c>
      <c r="J27" s="9">
        <v>97791.333333333328</v>
      </c>
    </row>
    <row r="28" spans="1:10">
      <c r="A28" s="1">
        <v>20</v>
      </c>
      <c r="B28" s="1">
        <v>185</v>
      </c>
      <c r="C28" s="1">
        <v>3700</v>
      </c>
      <c r="D28" s="9">
        <v>28429.172972972974</v>
      </c>
      <c r="E28" s="9">
        <v>180</v>
      </c>
      <c r="F28" s="9">
        <v>3600</v>
      </c>
      <c r="G28" s="9">
        <v>26500</v>
      </c>
      <c r="H28" s="9">
        <v>5</v>
      </c>
      <c r="I28" s="9">
        <v>100</v>
      </c>
      <c r="J28" s="9">
        <v>97879.4</v>
      </c>
    </row>
    <row r="29" spans="1:10">
      <c r="A29" s="1">
        <v>21</v>
      </c>
      <c r="B29" s="1">
        <v>187</v>
      </c>
      <c r="C29" s="1">
        <v>3927</v>
      </c>
      <c r="D29" s="9">
        <v>27268.18181818182</v>
      </c>
      <c r="E29" s="9">
        <v>185</v>
      </c>
      <c r="F29" s="9">
        <v>3885</v>
      </c>
      <c r="G29" s="9">
        <v>26500</v>
      </c>
      <c r="H29" s="9">
        <v>2</v>
      </c>
      <c r="I29" s="9">
        <v>42</v>
      </c>
      <c r="J29" s="9">
        <v>98325</v>
      </c>
    </row>
    <row r="30" spans="1:10">
      <c r="A30" s="1">
        <v>22</v>
      </c>
      <c r="B30" s="1">
        <v>165</v>
      </c>
      <c r="C30" s="1">
        <v>3630</v>
      </c>
      <c r="D30" s="9">
        <v>27525.454545454544</v>
      </c>
      <c r="E30" s="9">
        <v>163</v>
      </c>
      <c r="F30" s="9">
        <v>3586</v>
      </c>
      <c r="G30" s="9">
        <v>26652.39263803681</v>
      </c>
      <c r="H30" s="9">
        <v>2</v>
      </c>
      <c r="I30" s="9">
        <v>44</v>
      </c>
      <c r="J30" s="9">
        <v>98680</v>
      </c>
    </row>
    <row r="31" spans="1:10">
      <c r="A31" s="1">
        <v>23</v>
      </c>
      <c r="B31" s="1">
        <v>140</v>
      </c>
      <c r="C31" s="1">
        <v>3220</v>
      </c>
      <c r="D31" s="9">
        <v>28474.964285714286</v>
      </c>
      <c r="E31" s="9">
        <v>137</v>
      </c>
      <c r="F31" s="9">
        <v>3151</v>
      </c>
      <c r="G31" s="9">
        <v>26933.576642335767</v>
      </c>
      <c r="H31" s="9">
        <v>3</v>
      </c>
      <c r="I31" s="9">
        <v>69</v>
      </c>
      <c r="J31" s="9">
        <v>98865</v>
      </c>
    </row>
    <row r="32" spans="1:10">
      <c r="A32" s="1">
        <v>24</v>
      </c>
      <c r="B32" s="1">
        <v>116</v>
      </c>
      <c r="C32" s="1">
        <v>2784</v>
      </c>
      <c r="D32" s="9">
        <v>27914.439655172413</v>
      </c>
      <c r="E32" s="9">
        <v>115</v>
      </c>
      <c r="F32" s="9">
        <v>2760</v>
      </c>
      <c r="G32" s="9">
        <v>27292.782608695652</v>
      </c>
      <c r="H32" s="9">
        <v>1</v>
      </c>
      <c r="I32" s="9">
        <v>24</v>
      </c>
      <c r="J32" s="9">
        <v>99405</v>
      </c>
    </row>
    <row r="33" spans="1:10">
      <c r="A33" s="1">
        <v>25</v>
      </c>
      <c r="B33" s="1">
        <v>139</v>
      </c>
      <c r="C33" s="1">
        <v>3475</v>
      </c>
      <c r="D33" s="9">
        <v>29256.942446043166</v>
      </c>
      <c r="E33" s="9">
        <v>136</v>
      </c>
      <c r="F33" s="9">
        <v>3400</v>
      </c>
      <c r="G33" s="9">
        <v>27681.25</v>
      </c>
      <c r="H33" s="9">
        <v>3</v>
      </c>
      <c r="I33" s="9">
        <v>75</v>
      </c>
      <c r="J33" s="9">
        <v>100688.33333333333</v>
      </c>
    </row>
    <row r="34" spans="1:10">
      <c r="A34" s="1">
        <v>26</v>
      </c>
      <c r="B34" s="1">
        <v>139</v>
      </c>
      <c r="C34" s="1">
        <v>3614</v>
      </c>
      <c r="D34" s="9">
        <v>30603.920863309351</v>
      </c>
      <c r="E34" s="9">
        <v>134</v>
      </c>
      <c r="F34" s="9">
        <v>3484</v>
      </c>
      <c r="G34" s="9">
        <v>28002.238805970148</v>
      </c>
      <c r="H34" s="9">
        <v>5</v>
      </c>
      <c r="I34" s="9">
        <v>130</v>
      </c>
      <c r="J34" s="9">
        <v>100329</v>
      </c>
    </row>
    <row r="35" spans="1:10">
      <c r="A35" s="1">
        <v>27</v>
      </c>
      <c r="B35" s="1">
        <v>102</v>
      </c>
      <c r="C35" s="1">
        <v>2754</v>
      </c>
      <c r="D35" s="9">
        <v>29116.470588235294</v>
      </c>
      <c r="E35" s="9">
        <v>101</v>
      </c>
      <c r="F35" s="9">
        <v>2727</v>
      </c>
      <c r="G35" s="9">
        <v>28409.405940594061</v>
      </c>
      <c r="H35" s="9">
        <v>1</v>
      </c>
      <c r="I35" s="9">
        <v>27</v>
      </c>
      <c r="J35" s="9">
        <v>100530</v>
      </c>
    </row>
    <row r="36" spans="1:10">
      <c r="A36" s="1">
        <v>28</v>
      </c>
      <c r="B36" s="1">
        <v>121</v>
      </c>
      <c r="C36" s="1">
        <v>3388</v>
      </c>
      <c r="D36" s="9">
        <v>31896.776859504131</v>
      </c>
      <c r="E36" s="9">
        <v>116</v>
      </c>
      <c r="F36" s="9">
        <v>3248</v>
      </c>
      <c r="G36" s="9">
        <v>28884.482758620688</v>
      </c>
      <c r="H36" s="9">
        <v>5</v>
      </c>
      <c r="I36" s="9">
        <v>140</v>
      </c>
      <c r="J36" s="9">
        <v>101782</v>
      </c>
    </row>
    <row r="37" spans="1:10">
      <c r="A37" s="1">
        <v>29</v>
      </c>
      <c r="B37" s="1">
        <v>95</v>
      </c>
      <c r="C37" s="1">
        <v>2755</v>
      </c>
      <c r="D37" s="9">
        <v>29261.147368421054</v>
      </c>
      <c r="E37" s="9">
        <v>95</v>
      </c>
      <c r="F37" s="9">
        <v>2755</v>
      </c>
      <c r="G37" s="9">
        <v>29261.147368421054</v>
      </c>
      <c r="H37" s="9"/>
      <c r="I37" s="9"/>
      <c r="J37" s="9"/>
    </row>
    <row r="38" spans="1:10">
      <c r="A38" s="1">
        <v>30</v>
      </c>
      <c r="B38" s="1">
        <v>109</v>
      </c>
      <c r="C38" s="1">
        <v>3270</v>
      </c>
      <c r="D38" s="9">
        <v>31689.954128440368</v>
      </c>
      <c r="E38" s="9">
        <v>106</v>
      </c>
      <c r="F38" s="9">
        <v>3180</v>
      </c>
      <c r="G38" s="9">
        <v>29700</v>
      </c>
      <c r="H38" s="9">
        <v>3</v>
      </c>
      <c r="I38" s="9">
        <v>90</v>
      </c>
      <c r="J38" s="9">
        <v>102001.66666666667</v>
      </c>
    </row>
    <row r="39" spans="1:10">
      <c r="A39" s="1">
        <v>31</v>
      </c>
      <c r="B39" s="1">
        <v>103</v>
      </c>
      <c r="C39" s="1">
        <v>3193</v>
      </c>
      <c r="D39" s="9">
        <v>32221.310679611652</v>
      </c>
      <c r="E39" s="9">
        <v>100</v>
      </c>
      <c r="F39" s="9">
        <v>3100</v>
      </c>
      <c r="G39" s="9">
        <v>30100</v>
      </c>
      <c r="H39" s="9">
        <v>3</v>
      </c>
      <c r="I39" s="9">
        <v>93</v>
      </c>
      <c r="J39" s="9">
        <v>102931.66666666667</v>
      </c>
    </row>
    <row r="40" spans="1:10">
      <c r="A40" s="1">
        <v>32</v>
      </c>
      <c r="B40" s="1">
        <v>93</v>
      </c>
      <c r="C40" s="1">
        <v>2976</v>
      </c>
      <c r="D40" s="9">
        <v>34385.913978494624</v>
      </c>
      <c r="E40" s="9">
        <v>88</v>
      </c>
      <c r="F40" s="9">
        <v>2816</v>
      </c>
      <c r="G40" s="9">
        <v>30505</v>
      </c>
      <c r="H40" s="9">
        <v>5</v>
      </c>
      <c r="I40" s="9">
        <v>160</v>
      </c>
      <c r="J40" s="9">
        <v>102690</v>
      </c>
    </row>
    <row r="41" spans="1:10">
      <c r="A41" s="1">
        <v>33</v>
      </c>
      <c r="B41" s="1">
        <v>82</v>
      </c>
      <c r="C41" s="1">
        <v>2706</v>
      </c>
      <c r="D41" s="9">
        <v>31797.158536585364</v>
      </c>
      <c r="E41" s="9">
        <v>81</v>
      </c>
      <c r="F41" s="9">
        <v>2673</v>
      </c>
      <c r="G41" s="9">
        <v>30915</v>
      </c>
      <c r="H41" s="9">
        <v>1</v>
      </c>
      <c r="I41" s="9">
        <v>33</v>
      </c>
      <c r="J41" s="9">
        <v>103252</v>
      </c>
    </row>
    <row r="42" spans="1:10">
      <c r="A42" s="1">
        <v>34</v>
      </c>
      <c r="B42" s="1">
        <v>92</v>
      </c>
      <c r="C42" s="1">
        <v>3128</v>
      </c>
      <c r="D42" s="9">
        <v>32118.967391304348</v>
      </c>
      <c r="E42" s="9">
        <v>91</v>
      </c>
      <c r="F42" s="9">
        <v>3094</v>
      </c>
      <c r="G42" s="9">
        <v>31330</v>
      </c>
      <c r="H42" s="9">
        <v>1</v>
      </c>
      <c r="I42" s="9">
        <v>34</v>
      </c>
      <c r="J42" s="9">
        <v>103915</v>
      </c>
    </row>
    <row r="43" spans="1:10">
      <c r="A43" s="1">
        <v>35</v>
      </c>
      <c r="B43" s="1">
        <v>114</v>
      </c>
      <c r="C43" s="1">
        <v>3990</v>
      </c>
      <c r="D43" s="9">
        <v>33013.745614035084</v>
      </c>
      <c r="E43" s="9">
        <v>112</v>
      </c>
      <c r="F43" s="9">
        <v>3920</v>
      </c>
      <c r="G43" s="9">
        <v>31750</v>
      </c>
      <c r="H43" s="9">
        <v>2</v>
      </c>
      <c r="I43" s="9">
        <v>70</v>
      </c>
      <c r="J43" s="9">
        <v>103783.5</v>
      </c>
    </row>
    <row r="44" spans="1:10">
      <c r="A44" s="1">
        <v>36</v>
      </c>
      <c r="B44" s="1">
        <v>119</v>
      </c>
      <c r="C44" s="1">
        <v>4284</v>
      </c>
      <c r="D44" s="9">
        <v>32783.445378151264</v>
      </c>
      <c r="E44" s="9">
        <v>118</v>
      </c>
      <c r="F44" s="9">
        <v>4248</v>
      </c>
      <c r="G44" s="9">
        <v>32175</v>
      </c>
      <c r="H44" s="9">
        <v>1</v>
      </c>
      <c r="I44" s="9">
        <v>36</v>
      </c>
      <c r="J44" s="9">
        <v>104580</v>
      </c>
    </row>
    <row r="45" spans="1:10">
      <c r="A45" s="1">
        <v>37</v>
      </c>
      <c r="B45" s="1">
        <v>109</v>
      </c>
      <c r="C45" s="1">
        <v>4033</v>
      </c>
      <c r="D45" s="9">
        <v>33929.266055045875</v>
      </c>
      <c r="E45" s="9">
        <v>107</v>
      </c>
      <c r="F45" s="9">
        <v>3959</v>
      </c>
      <c r="G45" s="9">
        <v>32605</v>
      </c>
      <c r="H45" s="9">
        <v>2</v>
      </c>
      <c r="I45" s="9">
        <v>74</v>
      </c>
      <c r="J45" s="9">
        <v>104777.5</v>
      </c>
    </row>
    <row r="46" spans="1:10">
      <c r="A46" s="1">
        <v>38</v>
      </c>
      <c r="B46" s="1">
        <v>109</v>
      </c>
      <c r="C46" s="1">
        <v>4142</v>
      </c>
      <c r="D46" s="9">
        <v>33703.715596330272</v>
      </c>
      <c r="E46" s="9">
        <v>108</v>
      </c>
      <c r="F46" s="9">
        <v>4104</v>
      </c>
      <c r="G46" s="9">
        <v>33040</v>
      </c>
      <c r="H46" s="9">
        <v>1</v>
      </c>
      <c r="I46" s="9">
        <v>38</v>
      </c>
      <c r="J46" s="9">
        <v>105385</v>
      </c>
    </row>
    <row r="47" spans="1:10">
      <c r="A47" s="1">
        <v>39</v>
      </c>
      <c r="B47" s="1">
        <v>130</v>
      </c>
      <c r="C47" s="1">
        <v>5070</v>
      </c>
      <c r="D47" s="9">
        <v>36259.038461538461</v>
      </c>
      <c r="E47" s="9">
        <v>125</v>
      </c>
      <c r="F47" s="9">
        <v>4875</v>
      </c>
      <c r="G47" s="9">
        <v>33480</v>
      </c>
      <c r="H47" s="9">
        <v>5</v>
      </c>
      <c r="I47" s="9">
        <v>195</v>
      </c>
      <c r="J47" s="9">
        <v>105735</v>
      </c>
    </row>
    <row r="48" spans="1:10">
      <c r="A48" s="1">
        <v>40</v>
      </c>
      <c r="B48" s="1">
        <v>138</v>
      </c>
      <c r="C48" s="1">
        <v>5520</v>
      </c>
      <c r="D48" s="9">
        <v>34970.144927536232</v>
      </c>
      <c r="E48" s="9">
        <v>136</v>
      </c>
      <c r="F48" s="9">
        <v>5440</v>
      </c>
      <c r="G48" s="9">
        <v>33925</v>
      </c>
      <c r="H48" s="9">
        <v>2</v>
      </c>
      <c r="I48" s="9">
        <v>80</v>
      </c>
      <c r="J48" s="9">
        <v>106040</v>
      </c>
    </row>
    <row r="49" spans="1:10">
      <c r="A49" s="1">
        <v>41</v>
      </c>
      <c r="B49" s="1">
        <v>105</v>
      </c>
      <c r="C49" s="1">
        <v>4305</v>
      </c>
      <c r="D49" s="9">
        <v>34500</v>
      </c>
      <c r="E49" s="9">
        <v>105</v>
      </c>
      <c r="F49" s="9">
        <v>4305</v>
      </c>
      <c r="G49" s="9">
        <v>34500</v>
      </c>
      <c r="H49" s="9"/>
      <c r="I49" s="9"/>
      <c r="J49" s="9"/>
    </row>
    <row r="50" spans="1:10">
      <c r="A50" s="1">
        <v>42</v>
      </c>
      <c r="B50" s="1">
        <v>119</v>
      </c>
      <c r="C50" s="1">
        <v>4998</v>
      </c>
      <c r="D50" s="9">
        <v>35085</v>
      </c>
      <c r="E50" s="9">
        <v>119</v>
      </c>
      <c r="F50" s="9">
        <v>4998</v>
      </c>
      <c r="G50" s="9">
        <v>35085</v>
      </c>
      <c r="H50" s="9"/>
      <c r="I50" s="9"/>
      <c r="J50" s="9"/>
    </row>
    <row r="51" spans="1:10">
      <c r="A51" s="1">
        <v>43</v>
      </c>
      <c r="B51" s="1">
        <v>108</v>
      </c>
      <c r="C51" s="1">
        <v>4644</v>
      </c>
      <c r="D51" s="9">
        <v>37657.361111111109</v>
      </c>
      <c r="E51" s="9">
        <v>105</v>
      </c>
      <c r="F51" s="9">
        <v>4515</v>
      </c>
      <c r="G51" s="9">
        <v>35680</v>
      </c>
      <c r="H51" s="9">
        <v>3</v>
      </c>
      <c r="I51" s="9">
        <v>129</v>
      </c>
      <c r="J51" s="9">
        <v>106865</v>
      </c>
    </row>
    <row r="52" spans="1:10">
      <c r="A52" s="1">
        <v>44</v>
      </c>
      <c r="B52" s="1">
        <v>112</v>
      </c>
      <c r="C52" s="1">
        <v>4928</v>
      </c>
      <c r="D52" s="9">
        <v>36285</v>
      </c>
      <c r="E52" s="9">
        <v>112</v>
      </c>
      <c r="F52" s="9">
        <v>4928</v>
      </c>
      <c r="G52" s="9">
        <v>36285</v>
      </c>
      <c r="H52" s="9"/>
      <c r="I52" s="9"/>
      <c r="J52" s="9"/>
    </row>
    <row r="53" spans="1:10">
      <c r="A53" s="1">
        <v>45</v>
      </c>
      <c r="B53" s="1">
        <v>114</v>
      </c>
      <c r="C53" s="1">
        <v>5130</v>
      </c>
      <c r="D53" s="9">
        <v>38146.491228070176</v>
      </c>
      <c r="E53" s="9">
        <v>112</v>
      </c>
      <c r="F53" s="9">
        <v>5040</v>
      </c>
      <c r="G53" s="9">
        <v>36900</v>
      </c>
      <c r="H53" s="9">
        <v>2</v>
      </c>
      <c r="I53" s="9">
        <v>90</v>
      </c>
      <c r="J53" s="9">
        <v>107950</v>
      </c>
    </row>
    <row r="54" spans="1:10">
      <c r="A54" s="1">
        <v>46</v>
      </c>
      <c r="B54" s="1">
        <v>96</v>
      </c>
      <c r="C54" s="1">
        <v>4416</v>
      </c>
      <c r="D54" s="9">
        <v>37525</v>
      </c>
      <c r="E54" s="9">
        <v>96</v>
      </c>
      <c r="F54" s="9">
        <v>4416</v>
      </c>
      <c r="G54" s="9">
        <v>37525</v>
      </c>
      <c r="H54" s="9"/>
      <c r="I54" s="9"/>
      <c r="J54" s="9"/>
    </row>
    <row r="55" spans="1:10">
      <c r="A55" s="1">
        <v>47</v>
      </c>
      <c r="B55" s="1">
        <v>82</v>
      </c>
      <c r="C55" s="1">
        <v>3854</v>
      </c>
      <c r="D55" s="9">
        <v>39018.963414634149</v>
      </c>
      <c r="E55" s="9">
        <v>81</v>
      </c>
      <c r="F55" s="9">
        <v>3807</v>
      </c>
      <c r="G55" s="9">
        <v>38160</v>
      </c>
      <c r="H55" s="9">
        <v>1</v>
      </c>
      <c r="I55" s="9">
        <v>47</v>
      </c>
      <c r="J55" s="9">
        <v>108595</v>
      </c>
    </row>
    <row r="56" spans="1:10">
      <c r="A56" s="1">
        <v>48</v>
      </c>
      <c r="B56" s="1">
        <v>79</v>
      </c>
      <c r="C56" s="1">
        <v>3792</v>
      </c>
      <c r="D56" s="9">
        <v>40579.303797468354</v>
      </c>
      <c r="E56" s="9">
        <v>77</v>
      </c>
      <c r="F56" s="9">
        <v>3696</v>
      </c>
      <c r="G56" s="9">
        <v>38805</v>
      </c>
      <c r="H56" s="9">
        <v>2</v>
      </c>
      <c r="I56" s="9">
        <v>96</v>
      </c>
      <c r="J56" s="9">
        <v>108890</v>
      </c>
    </row>
    <row r="57" spans="1:10">
      <c r="A57" s="1">
        <v>49</v>
      </c>
      <c r="B57" s="1">
        <v>78</v>
      </c>
      <c r="C57" s="1">
        <v>3822</v>
      </c>
      <c r="D57" s="9">
        <v>43936.153846153844</v>
      </c>
      <c r="E57" s="9">
        <v>73</v>
      </c>
      <c r="F57" s="9">
        <v>3577</v>
      </c>
      <c r="G57" s="9">
        <v>39460</v>
      </c>
      <c r="H57" s="9">
        <v>5</v>
      </c>
      <c r="I57" s="9">
        <v>245</v>
      </c>
      <c r="J57" s="9">
        <v>109288</v>
      </c>
    </row>
    <row r="58" spans="1:10">
      <c r="A58" s="1">
        <v>50</v>
      </c>
      <c r="B58" s="1">
        <v>81</v>
      </c>
      <c r="C58" s="1">
        <v>4050</v>
      </c>
      <c r="D58" s="9">
        <v>40125</v>
      </c>
      <c r="E58" s="9">
        <v>81</v>
      </c>
      <c r="F58" s="9">
        <v>4050</v>
      </c>
      <c r="G58" s="9">
        <v>40125</v>
      </c>
      <c r="H58" s="9"/>
      <c r="I58" s="9"/>
      <c r="J58" s="9"/>
    </row>
    <row r="59" spans="1:10">
      <c r="A59" s="1">
        <v>51</v>
      </c>
      <c r="B59" s="1">
        <v>75</v>
      </c>
      <c r="C59" s="1">
        <v>3825</v>
      </c>
      <c r="D59" s="9">
        <v>41721.666666666664</v>
      </c>
      <c r="E59" s="9">
        <v>74</v>
      </c>
      <c r="F59" s="9">
        <v>3774</v>
      </c>
      <c r="G59" s="9">
        <v>40800</v>
      </c>
      <c r="H59" s="9">
        <v>1</v>
      </c>
      <c r="I59" s="9">
        <v>51</v>
      </c>
      <c r="J59" s="9">
        <v>109925</v>
      </c>
    </row>
    <row r="60" spans="1:10">
      <c r="A60" s="1">
        <v>52</v>
      </c>
      <c r="B60" s="1">
        <v>74</v>
      </c>
      <c r="C60" s="1">
        <v>3848</v>
      </c>
      <c r="D60" s="9">
        <v>42424.66216216216</v>
      </c>
      <c r="E60" s="9">
        <v>73</v>
      </c>
      <c r="F60" s="9">
        <v>3796</v>
      </c>
      <c r="G60" s="9">
        <v>41485</v>
      </c>
      <c r="H60" s="9">
        <v>1</v>
      </c>
      <c r="I60" s="9">
        <v>52</v>
      </c>
      <c r="J60" s="9">
        <v>111020</v>
      </c>
    </row>
    <row r="61" spans="1:10">
      <c r="A61" s="1">
        <v>53</v>
      </c>
      <c r="B61" s="1">
        <v>44</v>
      </c>
      <c r="C61" s="1">
        <v>2332</v>
      </c>
      <c r="D61" s="9">
        <v>42180</v>
      </c>
      <c r="E61" s="9">
        <v>44</v>
      </c>
      <c r="F61" s="9">
        <v>2332</v>
      </c>
      <c r="G61" s="9">
        <v>42180</v>
      </c>
      <c r="H61" s="9"/>
      <c r="I61" s="9"/>
      <c r="J61" s="9"/>
    </row>
    <row r="62" spans="1:10">
      <c r="A62" s="1">
        <v>54</v>
      </c>
      <c r="B62" s="1">
        <v>43</v>
      </c>
      <c r="C62" s="1">
        <v>2322</v>
      </c>
      <c r="D62" s="9">
        <v>42885</v>
      </c>
      <c r="E62" s="9">
        <v>43</v>
      </c>
      <c r="F62" s="9">
        <v>2322</v>
      </c>
      <c r="G62" s="9">
        <v>42885</v>
      </c>
      <c r="H62" s="9"/>
      <c r="I62" s="9"/>
      <c r="J62" s="9"/>
    </row>
    <row r="63" spans="1:10">
      <c r="A63" s="1">
        <v>55</v>
      </c>
      <c r="B63" s="1">
        <v>47</v>
      </c>
      <c r="C63" s="1">
        <v>2585</v>
      </c>
      <c r="D63" s="9">
        <v>43600</v>
      </c>
      <c r="E63" s="9">
        <v>47</v>
      </c>
      <c r="F63" s="9">
        <v>2585</v>
      </c>
      <c r="G63" s="9">
        <v>43600</v>
      </c>
      <c r="H63" s="9"/>
      <c r="I63" s="9"/>
      <c r="J63" s="9"/>
    </row>
    <row r="64" spans="1:10">
      <c r="A64" s="1">
        <v>56</v>
      </c>
      <c r="B64" s="1">
        <v>36</v>
      </c>
      <c r="C64" s="1">
        <v>2016</v>
      </c>
      <c r="D64" s="9">
        <v>49964.027777777781</v>
      </c>
      <c r="E64" s="9">
        <v>33</v>
      </c>
      <c r="F64" s="9">
        <v>1848</v>
      </c>
      <c r="G64" s="9">
        <v>44325</v>
      </c>
      <c r="H64" s="9">
        <v>3</v>
      </c>
      <c r="I64" s="9">
        <v>168</v>
      </c>
      <c r="J64" s="9">
        <v>111993.33333333333</v>
      </c>
    </row>
    <row r="65" spans="1:10">
      <c r="A65" s="1">
        <v>57</v>
      </c>
      <c r="B65" s="1">
        <v>40</v>
      </c>
      <c r="C65" s="1">
        <v>2280</v>
      </c>
      <c r="D65" s="9">
        <v>46806.25</v>
      </c>
      <c r="E65" s="9">
        <v>39</v>
      </c>
      <c r="F65" s="9">
        <v>2223</v>
      </c>
      <c r="G65" s="9">
        <v>45060</v>
      </c>
      <c r="H65" s="9">
        <v>1</v>
      </c>
      <c r="I65" s="9">
        <v>57</v>
      </c>
      <c r="J65" s="9">
        <v>114910</v>
      </c>
    </row>
    <row r="66" spans="1:10">
      <c r="A66" s="1">
        <v>58</v>
      </c>
      <c r="B66" s="1">
        <v>29</v>
      </c>
      <c r="C66" s="1">
        <v>1682</v>
      </c>
      <c r="D66" s="9">
        <v>45805</v>
      </c>
      <c r="E66" s="9">
        <v>29</v>
      </c>
      <c r="F66" s="9">
        <v>1682</v>
      </c>
      <c r="G66" s="9">
        <v>45805</v>
      </c>
      <c r="H66" s="9"/>
      <c r="I66" s="9"/>
      <c r="J66" s="9"/>
    </row>
    <row r="67" spans="1:10">
      <c r="A67" s="1">
        <v>59</v>
      </c>
      <c r="B67" s="1">
        <v>30</v>
      </c>
      <c r="C67" s="1">
        <v>1770</v>
      </c>
      <c r="D67" s="9">
        <v>48869.833333333336</v>
      </c>
      <c r="E67" s="9">
        <v>29</v>
      </c>
      <c r="F67" s="9">
        <v>1711</v>
      </c>
      <c r="G67" s="9">
        <v>46560</v>
      </c>
      <c r="H67" s="9">
        <v>1</v>
      </c>
      <c r="I67" s="9">
        <v>59</v>
      </c>
      <c r="J67" s="9">
        <v>115855</v>
      </c>
    </row>
    <row r="68" spans="1:10">
      <c r="A68" s="1">
        <v>60</v>
      </c>
      <c r="B68" s="1">
        <v>29</v>
      </c>
      <c r="C68" s="1">
        <v>1740</v>
      </c>
      <c r="D68" s="9">
        <v>49614.482758620688</v>
      </c>
      <c r="E68" s="9">
        <v>28</v>
      </c>
      <c r="F68" s="9">
        <v>1680</v>
      </c>
      <c r="G68" s="9">
        <v>47325</v>
      </c>
      <c r="H68" s="9">
        <v>1</v>
      </c>
      <c r="I68" s="9">
        <v>60</v>
      </c>
      <c r="J68" s="9">
        <v>113720</v>
      </c>
    </row>
    <row r="69" spans="1:10">
      <c r="A69" s="1">
        <v>61</v>
      </c>
      <c r="B69" s="1">
        <v>24</v>
      </c>
      <c r="C69" s="1">
        <v>1464</v>
      </c>
      <c r="D69" s="9">
        <v>53846.25</v>
      </c>
      <c r="E69" s="9">
        <v>22</v>
      </c>
      <c r="F69" s="9">
        <v>1342</v>
      </c>
      <c r="G69" s="9">
        <v>48100</v>
      </c>
      <c r="H69" s="9">
        <v>2</v>
      </c>
      <c r="I69" s="9">
        <v>122</v>
      </c>
      <c r="J69" s="9">
        <v>117055</v>
      </c>
    </row>
    <row r="70" spans="1:10">
      <c r="A70" s="1">
        <v>62</v>
      </c>
      <c r="B70" s="1">
        <v>14</v>
      </c>
      <c r="C70" s="1">
        <v>868</v>
      </c>
      <c r="D70" s="9">
        <v>53550.357142857145</v>
      </c>
      <c r="E70" s="9">
        <v>13</v>
      </c>
      <c r="F70" s="9">
        <v>806</v>
      </c>
      <c r="G70" s="9">
        <v>48885</v>
      </c>
      <c r="H70" s="9">
        <v>1</v>
      </c>
      <c r="I70" s="9">
        <v>62</v>
      </c>
      <c r="J70" s="9">
        <v>114200</v>
      </c>
    </row>
    <row r="71" spans="1:10">
      <c r="A71" s="1">
        <v>63</v>
      </c>
      <c r="B71" s="1">
        <v>14</v>
      </c>
      <c r="C71" s="1">
        <v>882</v>
      </c>
      <c r="D71" s="9">
        <v>49680</v>
      </c>
      <c r="E71" s="9">
        <v>14</v>
      </c>
      <c r="F71" s="9">
        <v>882</v>
      </c>
      <c r="G71" s="9">
        <v>49680</v>
      </c>
      <c r="H71" s="9"/>
      <c r="I71" s="9"/>
      <c r="J71" s="9"/>
    </row>
    <row r="72" spans="1:10">
      <c r="A72" s="1">
        <v>64</v>
      </c>
      <c r="B72" s="1">
        <v>15</v>
      </c>
      <c r="C72" s="1">
        <v>960</v>
      </c>
      <c r="D72" s="9">
        <v>50485</v>
      </c>
      <c r="E72" s="9">
        <v>15</v>
      </c>
      <c r="F72" s="9">
        <v>960</v>
      </c>
      <c r="G72" s="9">
        <v>50485</v>
      </c>
      <c r="H72" s="9"/>
      <c r="I72" s="9"/>
      <c r="J72" s="9"/>
    </row>
    <row r="73" spans="1:10">
      <c r="A73" s="1">
        <v>65</v>
      </c>
      <c r="B73" s="1">
        <v>12</v>
      </c>
      <c r="C73" s="1">
        <v>780</v>
      </c>
      <c r="D73" s="9">
        <v>51300</v>
      </c>
      <c r="E73" s="9">
        <v>12</v>
      </c>
      <c r="F73" s="9">
        <v>780</v>
      </c>
      <c r="G73" s="9">
        <v>51300</v>
      </c>
      <c r="H73" s="9"/>
      <c r="I73" s="9"/>
      <c r="J73" s="9"/>
    </row>
    <row r="74" spans="1:10">
      <c r="A74" s="1">
        <v>66</v>
      </c>
      <c r="B74" s="1">
        <v>6</v>
      </c>
      <c r="C74" s="1">
        <v>396</v>
      </c>
      <c r="D74" s="9">
        <v>52125</v>
      </c>
      <c r="E74" s="9">
        <v>6</v>
      </c>
      <c r="F74" s="9">
        <v>396</v>
      </c>
      <c r="G74" s="9">
        <v>52125</v>
      </c>
      <c r="H74" s="9"/>
      <c r="I74" s="9"/>
      <c r="J74" s="9"/>
    </row>
    <row r="75" spans="1:10">
      <c r="A75" s="1">
        <v>67</v>
      </c>
      <c r="B75" s="1">
        <v>11</v>
      </c>
      <c r="C75" s="1">
        <v>737</v>
      </c>
      <c r="D75" s="9">
        <v>52960</v>
      </c>
      <c r="E75" s="9">
        <v>11</v>
      </c>
      <c r="F75" s="9">
        <v>737</v>
      </c>
      <c r="G75" s="9">
        <v>52960</v>
      </c>
      <c r="H75" s="9"/>
      <c r="I75" s="9"/>
      <c r="J75" s="9"/>
    </row>
    <row r="76" spans="1:10">
      <c r="A76" s="1">
        <v>68</v>
      </c>
      <c r="B76" s="1">
        <v>3</v>
      </c>
      <c r="C76" s="1">
        <v>204</v>
      </c>
      <c r="D76" s="9">
        <v>53805</v>
      </c>
      <c r="E76" s="9">
        <v>3</v>
      </c>
      <c r="F76" s="9">
        <v>204</v>
      </c>
      <c r="G76" s="9">
        <v>53805</v>
      </c>
      <c r="H76" s="9"/>
      <c r="I76" s="9"/>
      <c r="J76" s="9"/>
    </row>
    <row r="77" spans="1:10">
      <c r="A77" s="1">
        <v>69</v>
      </c>
      <c r="B77" s="1">
        <v>6</v>
      </c>
      <c r="C77" s="1">
        <v>414</v>
      </c>
      <c r="D77" s="9">
        <v>54660</v>
      </c>
      <c r="E77" s="9">
        <v>6</v>
      </c>
      <c r="F77" s="9">
        <v>414</v>
      </c>
      <c r="G77" s="9">
        <v>54660</v>
      </c>
      <c r="H77" s="9"/>
      <c r="I77" s="9"/>
      <c r="J77" s="9"/>
    </row>
    <row r="78" spans="1:10">
      <c r="A78" s="1">
        <v>70</v>
      </c>
      <c r="B78" s="1">
        <v>1</v>
      </c>
      <c r="C78" s="1">
        <v>70</v>
      </c>
      <c r="D78" s="9">
        <v>55525</v>
      </c>
      <c r="E78" s="9">
        <v>1</v>
      </c>
      <c r="F78" s="9">
        <v>70</v>
      </c>
      <c r="G78" s="9">
        <v>55525</v>
      </c>
      <c r="H78" s="9"/>
      <c r="I78" s="9"/>
      <c r="J78" s="9"/>
    </row>
    <row r="79" spans="1:10">
      <c r="A79" s="1">
        <v>71</v>
      </c>
      <c r="B79" s="1">
        <v>6</v>
      </c>
      <c r="C79" s="1">
        <v>426</v>
      </c>
      <c r="D79" s="9">
        <v>56400</v>
      </c>
      <c r="E79" s="9">
        <v>6</v>
      </c>
      <c r="F79" s="9">
        <v>426</v>
      </c>
      <c r="G79" s="9">
        <v>56400</v>
      </c>
      <c r="H79" s="9"/>
      <c r="I79" s="9"/>
      <c r="J79" s="9"/>
    </row>
    <row r="80" spans="1:10">
      <c r="A80" s="1">
        <v>72</v>
      </c>
      <c r="B80" s="1">
        <v>2</v>
      </c>
      <c r="C80" s="1">
        <v>144</v>
      </c>
      <c r="D80" s="9">
        <v>57285</v>
      </c>
      <c r="E80" s="9">
        <v>2</v>
      </c>
      <c r="F80" s="9">
        <v>144</v>
      </c>
      <c r="G80" s="9">
        <v>57285</v>
      </c>
      <c r="H80" s="9"/>
      <c r="I80" s="9"/>
      <c r="J80" s="9"/>
    </row>
    <row r="81" spans="1:10">
      <c r="A81" s="1">
        <v>73</v>
      </c>
      <c r="B81" s="1">
        <v>1</v>
      </c>
      <c r="C81" s="1">
        <v>73</v>
      </c>
      <c r="D81" s="9">
        <v>58180</v>
      </c>
      <c r="E81" s="9">
        <v>1</v>
      </c>
      <c r="F81" s="9">
        <v>73</v>
      </c>
      <c r="G81" s="9">
        <v>58180</v>
      </c>
      <c r="H81" s="9"/>
      <c r="I81" s="9"/>
      <c r="J81" s="9"/>
    </row>
    <row r="82" spans="1:10">
      <c r="A82" s="1">
        <v>74</v>
      </c>
      <c r="B82" s="1">
        <v>3</v>
      </c>
      <c r="C82" s="1">
        <v>222</v>
      </c>
      <c r="D82" s="9">
        <v>59085</v>
      </c>
      <c r="E82" s="9">
        <v>3</v>
      </c>
      <c r="F82" s="9">
        <v>222</v>
      </c>
      <c r="G82" s="9">
        <v>59085</v>
      </c>
      <c r="H82" s="9"/>
      <c r="I82" s="9"/>
      <c r="J82" s="9"/>
    </row>
    <row r="83" spans="1:10">
      <c r="A83" s="1">
        <v>75</v>
      </c>
      <c r="B83" s="1">
        <v>2</v>
      </c>
      <c r="C83" s="1">
        <v>150</v>
      </c>
      <c r="D83" s="9">
        <v>60000</v>
      </c>
      <c r="E83" s="9">
        <v>2</v>
      </c>
      <c r="F83" s="9">
        <v>150</v>
      </c>
      <c r="G83" s="9">
        <v>60000</v>
      </c>
      <c r="H83" s="9"/>
      <c r="I83" s="9"/>
      <c r="J83" s="9"/>
    </row>
    <row r="84" spans="1:10">
      <c r="A84" s="1">
        <v>76</v>
      </c>
      <c r="B84" s="1">
        <v>3</v>
      </c>
      <c r="C84" s="1">
        <v>228</v>
      </c>
      <c r="D84" s="9">
        <v>80416.666666666672</v>
      </c>
      <c r="E84" s="9">
        <v>2</v>
      </c>
      <c r="F84" s="9">
        <v>152</v>
      </c>
      <c r="G84" s="9">
        <v>60500</v>
      </c>
      <c r="H84" s="9">
        <v>1</v>
      </c>
      <c r="I84" s="9">
        <v>76</v>
      </c>
      <c r="J84" s="9">
        <v>120250</v>
      </c>
    </row>
    <row r="85" spans="1:10">
      <c r="A85" s="1">
        <v>77</v>
      </c>
      <c r="B85" s="1">
        <v>3</v>
      </c>
      <c r="C85" s="1">
        <v>231</v>
      </c>
      <c r="D85" s="9">
        <v>81135</v>
      </c>
      <c r="E85" s="9">
        <v>2</v>
      </c>
      <c r="F85" s="9">
        <v>154</v>
      </c>
      <c r="G85" s="9">
        <v>61000</v>
      </c>
      <c r="H85" s="9">
        <v>1</v>
      </c>
      <c r="I85" s="9">
        <v>77</v>
      </c>
      <c r="J85" s="9">
        <v>121405</v>
      </c>
    </row>
    <row r="86" spans="1:10">
      <c r="A86" s="1">
        <v>78</v>
      </c>
      <c r="B86" s="1">
        <v>1</v>
      </c>
      <c r="C86" s="1">
        <v>78</v>
      </c>
      <c r="D86" s="9">
        <v>61500</v>
      </c>
      <c r="E86" s="9">
        <v>1</v>
      </c>
      <c r="F86" s="9">
        <v>78</v>
      </c>
      <c r="G86" s="9">
        <v>61500</v>
      </c>
      <c r="H86" s="9"/>
      <c r="I86" s="9"/>
      <c r="J86" s="9"/>
    </row>
    <row r="87" spans="1:10">
      <c r="A87" s="1">
        <v>79</v>
      </c>
      <c r="B87" s="1">
        <v>4</v>
      </c>
      <c r="C87" s="1">
        <v>316</v>
      </c>
      <c r="D87" s="9">
        <v>77057.5</v>
      </c>
      <c r="E87" s="9">
        <v>3</v>
      </c>
      <c r="F87" s="9">
        <v>237</v>
      </c>
      <c r="G87" s="9">
        <v>62000</v>
      </c>
      <c r="H87" s="9">
        <v>1</v>
      </c>
      <c r="I87" s="9">
        <v>79</v>
      </c>
      <c r="J87" s="9">
        <v>122230</v>
      </c>
    </row>
    <row r="88" spans="1:10">
      <c r="A88" s="1">
        <v>80</v>
      </c>
      <c r="B88" s="1">
        <v>1</v>
      </c>
      <c r="C88" s="1">
        <v>80</v>
      </c>
      <c r="D88" s="9">
        <v>62500</v>
      </c>
      <c r="E88" s="9">
        <v>1</v>
      </c>
      <c r="F88" s="9">
        <v>80</v>
      </c>
      <c r="G88" s="9">
        <v>62500</v>
      </c>
      <c r="H88" s="9"/>
      <c r="I88" s="9"/>
      <c r="J88" s="9"/>
    </row>
    <row r="89" spans="1:10">
      <c r="A89" s="1">
        <v>81</v>
      </c>
      <c r="B89" s="1">
        <v>2</v>
      </c>
      <c r="C89" s="1">
        <v>162</v>
      </c>
      <c r="D89" s="9">
        <v>92860</v>
      </c>
      <c r="E89" s="9">
        <v>1</v>
      </c>
      <c r="F89" s="9">
        <v>81</v>
      </c>
      <c r="G89" s="9">
        <v>63000</v>
      </c>
      <c r="H89" s="9">
        <v>1</v>
      </c>
      <c r="I89" s="9">
        <v>81</v>
      </c>
      <c r="J89" s="9">
        <v>122720</v>
      </c>
    </row>
    <row r="90" spans="1:10">
      <c r="A90" s="1">
        <v>82</v>
      </c>
      <c r="B90" s="1">
        <v>1</v>
      </c>
      <c r="C90" s="1">
        <v>82</v>
      </c>
      <c r="D90" s="9">
        <v>63500</v>
      </c>
      <c r="E90" s="9">
        <v>1</v>
      </c>
      <c r="F90" s="9">
        <v>82</v>
      </c>
      <c r="G90" s="9">
        <v>63500</v>
      </c>
      <c r="H90" s="9"/>
      <c r="I90" s="9"/>
      <c r="J90" s="9"/>
    </row>
    <row r="91" spans="1:10">
      <c r="A91" s="1">
        <v>83</v>
      </c>
      <c r="B91" s="1">
        <v>2</v>
      </c>
      <c r="C91" s="1">
        <v>166</v>
      </c>
      <c r="D91" s="9">
        <v>94520</v>
      </c>
      <c r="E91" s="9">
        <v>1</v>
      </c>
      <c r="F91" s="9">
        <v>83</v>
      </c>
      <c r="G91" s="9">
        <v>64000</v>
      </c>
      <c r="H91" s="9">
        <v>1</v>
      </c>
      <c r="I91" s="9">
        <v>83</v>
      </c>
      <c r="J91" s="9">
        <v>125040</v>
      </c>
    </row>
    <row r="92" spans="1:10">
      <c r="A92" s="1">
        <v>84</v>
      </c>
      <c r="B92" s="1">
        <v>1</v>
      </c>
      <c r="C92" s="1">
        <v>84</v>
      </c>
      <c r="D92" s="9">
        <v>64500</v>
      </c>
      <c r="E92" s="9">
        <v>1</v>
      </c>
      <c r="F92" s="9">
        <v>84</v>
      </c>
      <c r="G92" s="9">
        <v>64500</v>
      </c>
      <c r="H92" s="9"/>
      <c r="I92" s="9"/>
      <c r="J92" s="9"/>
    </row>
    <row r="93" spans="1:10">
      <c r="A93" s="1">
        <v>85</v>
      </c>
      <c r="B93" s="1">
        <v>1</v>
      </c>
      <c r="C93" s="1">
        <v>85</v>
      </c>
      <c r="D93" s="9">
        <v>65000</v>
      </c>
      <c r="E93" s="9">
        <v>1</v>
      </c>
      <c r="F93" s="9">
        <v>85</v>
      </c>
      <c r="G93" s="9">
        <v>65000</v>
      </c>
      <c r="H93" s="9"/>
      <c r="I93" s="9"/>
      <c r="J93" s="9"/>
    </row>
    <row r="94" spans="1:10">
      <c r="A94" s="1">
        <v>86</v>
      </c>
      <c r="B94" s="1"/>
      <c r="C94" s="1"/>
      <c r="D94" s="9" t="e">
        <v>#DIV/0!</v>
      </c>
      <c r="E94" s="9"/>
      <c r="F94" s="9"/>
      <c r="G94" s="9"/>
      <c r="H94" s="9"/>
      <c r="I94" s="9"/>
      <c r="J94" s="9"/>
    </row>
    <row r="95" spans="1:10">
      <c r="A95" s="1">
        <v>87</v>
      </c>
      <c r="B95" s="1"/>
      <c r="C95" s="1"/>
      <c r="D95" s="9" t="e">
        <v>#DIV/0!</v>
      </c>
      <c r="E95" s="9"/>
      <c r="F95" s="9"/>
      <c r="G95" s="9"/>
      <c r="H95" s="9"/>
      <c r="I95" s="9"/>
      <c r="J95" s="9"/>
    </row>
    <row r="96" spans="1:10">
      <c r="A96" s="1">
        <v>88</v>
      </c>
      <c r="B96" s="1">
        <v>1</v>
      </c>
      <c r="C96" s="1">
        <v>88</v>
      </c>
      <c r="D96" s="9">
        <v>66500</v>
      </c>
      <c r="E96" s="9">
        <v>1</v>
      </c>
      <c r="F96" s="9">
        <v>88</v>
      </c>
      <c r="G96" s="9">
        <v>66500</v>
      </c>
      <c r="H96" s="9"/>
      <c r="I96" s="9"/>
      <c r="J96" s="9"/>
    </row>
    <row r="97" spans="1:10">
      <c r="A97" s="1">
        <v>89</v>
      </c>
      <c r="B97" s="1">
        <v>2</v>
      </c>
      <c r="C97" s="1">
        <v>178</v>
      </c>
      <c r="D97" s="9">
        <v>97122.5</v>
      </c>
      <c r="E97" s="9">
        <v>1</v>
      </c>
      <c r="F97" s="9">
        <v>89</v>
      </c>
      <c r="G97" s="9">
        <v>67000</v>
      </c>
      <c r="H97" s="9">
        <v>1</v>
      </c>
      <c r="I97" s="9">
        <v>89</v>
      </c>
      <c r="J97" s="9">
        <v>127245</v>
      </c>
    </row>
    <row r="98" spans="1:10">
      <c r="A98" s="1">
        <v>90</v>
      </c>
      <c r="B98" s="1">
        <v>2</v>
      </c>
      <c r="C98" s="1">
        <v>180</v>
      </c>
      <c r="D98" s="9">
        <v>67500</v>
      </c>
      <c r="E98" s="9">
        <v>2</v>
      </c>
      <c r="F98" s="9">
        <v>180</v>
      </c>
      <c r="G98" s="9">
        <v>67500</v>
      </c>
      <c r="H98" s="9"/>
      <c r="I98" s="9"/>
      <c r="J98" s="9"/>
    </row>
    <row r="99" spans="1:10">
      <c r="A99" s="1">
        <v>91</v>
      </c>
      <c r="B99" s="1"/>
      <c r="C99" s="1"/>
      <c r="D99" s="9"/>
      <c r="E99" s="9"/>
      <c r="F99" s="9"/>
      <c r="G99" s="9"/>
      <c r="H99" s="9"/>
      <c r="I99" s="9"/>
      <c r="J99" s="9"/>
    </row>
    <row r="100" spans="1:10">
      <c r="A100" s="1">
        <v>92</v>
      </c>
      <c r="B100" s="1"/>
      <c r="C100" s="1"/>
      <c r="D100" s="9"/>
      <c r="E100" s="9"/>
      <c r="F100" s="9"/>
      <c r="G100" s="9"/>
      <c r="H100" s="9"/>
      <c r="I100" s="9"/>
      <c r="J100" s="9"/>
    </row>
    <row r="101" spans="1:10">
      <c r="A101" s="1">
        <v>93</v>
      </c>
      <c r="B101" s="1">
        <v>2</v>
      </c>
      <c r="C101" s="1">
        <v>186</v>
      </c>
      <c r="D101" s="9">
        <v>69000</v>
      </c>
      <c r="E101" s="9">
        <v>2</v>
      </c>
      <c r="F101" s="9">
        <v>186</v>
      </c>
      <c r="G101" s="9">
        <v>69000</v>
      </c>
      <c r="H101" s="9"/>
      <c r="I101" s="9"/>
      <c r="J101" s="9"/>
    </row>
    <row r="102" spans="1:10">
      <c r="A102" s="1">
        <v>94</v>
      </c>
      <c r="B102" s="1"/>
      <c r="C102" s="1"/>
      <c r="D102" s="9"/>
      <c r="E102" s="9"/>
      <c r="F102" s="9"/>
      <c r="G102" s="9"/>
      <c r="H102" s="9"/>
      <c r="I102" s="9"/>
      <c r="J102" s="9"/>
    </row>
    <row r="103" spans="1:10">
      <c r="A103" s="1">
        <v>95</v>
      </c>
      <c r="B103" s="1">
        <v>1</v>
      </c>
      <c r="C103" s="1">
        <v>95</v>
      </c>
      <c r="D103" s="9">
        <v>70000</v>
      </c>
      <c r="E103" s="9">
        <v>1</v>
      </c>
      <c r="F103" s="9">
        <v>95</v>
      </c>
      <c r="G103" s="9">
        <v>70000</v>
      </c>
      <c r="H103" s="9"/>
      <c r="I103" s="9"/>
      <c r="J103" s="9"/>
    </row>
    <row r="104" spans="1:10">
      <c r="A104" s="1">
        <v>96</v>
      </c>
      <c r="B104" s="1"/>
      <c r="C104" s="1"/>
      <c r="D104" s="9"/>
      <c r="E104" s="9"/>
      <c r="F104" s="9"/>
      <c r="G104" s="9"/>
      <c r="H104" s="9"/>
      <c r="I104" s="9"/>
      <c r="J104" s="9"/>
    </row>
    <row r="105" spans="1:10">
      <c r="A105" s="1">
        <v>97</v>
      </c>
      <c r="B105" s="1">
        <v>4</v>
      </c>
      <c r="C105" s="1">
        <v>388</v>
      </c>
      <c r="D105" s="9">
        <v>71000</v>
      </c>
      <c r="E105" s="9">
        <v>4</v>
      </c>
      <c r="F105" s="9">
        <v>388</v>
      </c>
      <c r="G105" s="9">
        <v>71000</v>
      </c>
      <c r="H105" s="9"/>
      <c r="I105" s="9"/>
      <c r="J105" s="9"/>
    </row>
    <row r="106" spans="1:10">
      <c r="A106" s="1">
        <v>98</v>
      </c>
      <c r="B106" s="1">
        <v>2</v>
      </c>
      <c r="C106" s="1">
        <v>196</v>
      </c>
      <c r="D106" s="9">
        <v>71500</v>
      </c>
      <c r="E106" s="9">
        <v>2</v>
      </c>
      <c r="F106" s="9">
        <v>196</v>
      </c>
      <c r="G106" s="9">
        <v>71500</v>
      </c>
      <c r="H106" s="9"/>
      <c r="I106" s="9"/>
      <c r="J106" s="9"/>
    </row>
    <row r="107" spans="1:10">
      <c r="A107" s="1">
        <v>99</v>
      </c>
      <c r="B107" s="1">
        <v>1</v>
      </c>
      <c r="C107" s="1">
        <v>99</v>
      </c>
      <c r="D107" s="9">
        <v>72000</v>
      </c>
      <c r="E107" s="9">
        <v>1</v>
      </c>
      <c r="F107" s="9">
        <v>99</v>
      </c>
      <c r="G107" s="9">
        <v>72000</v>
      </c>
      <c r="H107" s="9"/>
      <c r="I107" s="9"/>
      <c r="J107" s="9"/>
    </row>
    <row r="108" spans="1:10">
      <c r="A108" s="1">
        <v>100</v>
      </c>
      <c r="B108" s="1">
        <v>1</v>
      </c>
      <c r="C108" s="1">
        <v>100</v>
      </c>
      <c r="D108" s="9">
        <v>72500</v>
      </c>
      <c r="E108" s="9">
        <v>1</v>
      </c>
      <c r="F108" s="9">
        <v>100</v>
      </c>
      <c r="G108" s="9">
        <v>72500</v>
      </c>
      <c r="H108" s="9"/>
      <c r="I108" s="9"/>
      <c r="J108" s="9"/>
    </row>
    <row r="109" spans="1:10">
      <c r="A109" s="1">
        <v>101</v>
      </c>
      <c r="B109" s="1"/>
      <c r="C109" s="1"/>
      <c r="D109" s="9"/>
      <c r="E109" s="9"/>
      <c r="F109" s="9"/>
      <c r="G109" s="9"/>
      <c r="H109" s="9"/>
      <c r="I109" s="9"/>
      <c r="J109" s="9"/>
    </row>
    <row r="110" spans="1:10">
      <c r="A110" s="1">
        <v>102</v>
      </c>
      <c r="B110" s="1">
        <v>1</v>
      </c>
      <c r="C110" s="1">
        <v>102</v>
      </c>
      <c r="D110" s="9">
        <v>73500</v>
      </c>
      <c r="E110" s="9">
        <v>1</v>
      </c>
      <c r="F110" s="9">
        <v>102</v>
      </c>
      <c r="G110" s="9">
        <v>73500</v>
      </c>
      <c r="H110" s="9"/>
      <c r="I110" s="9"/>
      <c r="J110" s="9"/>
    </row>
    <row r="111" spans="1:10">
      <c r="A111" s="1">
        <v>103</v>
      </c>
      <c r="B111" s="1">
        <v>1</v>
      </c>
      <c r="C111" s="1">
        <v>103</v>
      </c>
      <c r="D111" s="9">
        <v>74000</v>
      </c>
      <c r="E111" s="9">
        <v>1</v>
      </c>
      <c r="F111" s="9">
        <v>103</v>
      </c>
      <c r="G111" s="9">
        <v>74000</v>
      </c>
      <c r="H111" s="9"/>
      <c r="I111" s="9"/>
      <c r="J111" s="9"/>
    </row>
    <row r="112" spans="1:10">
      <c r="A112" s="1">
        <v>104</v>
      </c>
      <c r="B112" s="1"/>
      <c r="C112" s="1"/>
      <c r="D112" s="9"/>
      <c r="E112" s="9"/>
      <c r="F112" s="9"/>
      <c r="G112" s="9"/>
      <c r="H112" s="9"/>
      <c r="I112" s="9"/>
      <c r="J112" s="9"/>
    </row>
    <row r="113" spans="1:10">
      <c r="A113" s="1">
        <v>105</v>
      </c>
      <c r="B113" s="1">
        <v>1</v>
      </c>
      <c r="C113" s="1">
        <v>105</v>
      </c>
      <c r="D113" s="9">
        <v>75000</v>
      </c>
      <c r="E113" s="9">
        <v>1</v>
      </c>
      <c r="F113" s="9">
        <v>105</v>
      </c>
      <c r="G113" s="9">
        <v>75000</v>
      </c>
      <c r="H113" s="9"/>
      <c r="I113" s="9"/>
      <c r="J113" s="9"/>
    </row>
    <row r="114" spans="1:10">
      <c r="A114" s="1">
        <v>106</v>
      </c>
      <c r="B114" s="1"/>
      <c r="C114" s="1"/>
      <c r="D114" s="9"/>
      <c r="E114" s="9"/>
      <c r="F114" s="9"/>
      <c r="G114" s="9"/>
      <c r="H114" s="9"/>
      <c r="I114" s="9"/>
      <c r="J114" s="9"/>
    </row>
    <row r="115" spans="1:10">
      <c r="A115" s="1">
        <v>107</v>
      </c>
      <c r="B115" s="1"/>
      <c r="C115" s="1"/>
      <c r="D115" s="9"/>
      <c r="E115" s="9"/>
      <c r="F115" s="9"/>
      <c r="G115" s="9"/>
      <c r="H115" s="9"/>
      <c r="I115" s="9"/>
      <c r="J115" s="9"/>
    </row>
    <row r="116" spans="1:10">
      <c r="A116" s="1">
        <v>108</v>
      </c>
      <c r="B116" s="1">
        <v>1</v>
      </c>
      <c r="C116" s="1">
        <v>108</v>
      </c>
      <c r="D116" s="9">
        <v>76500</v>
      </c>
      <c r="E116" s="9">
        <v>1</v>
      </c>
      <c r="F116" s="9">
        <v>108</v>
      </c>
      <c r="G116" s="9">
        <v>76500</v>
      </c>
      <c r="H116" s="9"/>
      <c r="I116" s="9"/>
      <c r="J116" s="9"/>
    </row>
    <row r="117" spans="1:10">
      <c r="A117" s="1">
        <v>109</v>
      </c>
      <c r="B117" s="1"/>
      <c r="C117" s="1"/>
      <c r="D117" s="9"/>
      <c r="E117" s="9"/>
      <c r="F117" s="9"/>
      <c r="G117" s="9"/>
      <c r="H117" s="9"/>
      <c r="I117" s="9"/>
      <c r="J117" s="9"/>
    </row>
    <row r="118" spans="1:10">
      <c r="A118" s="1">
        <v>110</v>
      </c>
      <c r="B118" s="1"/>
      <c r="C118" s="1"/>
      <c r="D118" s="9"/>
      <c r="E118" s="9"/>
      <c r="F118" s="9"/>
      <c r="G118" s="9"/>
      <c r="H118" s="9"/>
      <c r="I118" s="9"/>
      <c r="J118" s="9"/>
    </row>
    <row r="119" spans="1:10">
      <c r="A119" s="1">
        <v>111</v>
      </c>
      <c r="B119" s="1">
        <v>1</v>
      </c>
      <c r="C119" s="1">
        <v>111</v>
      </c>
      <c r="D119" s="9">
        <v>78000</v>
      </c>
      <c r="E119" s="9">
        <v>1</v>
      </c>
      <c r="F119" s="9">
        <v>111</v>
      </c>
      <c r="G119" s="9">
        <v>78000</v>
      </c>
      <c r="H119" s="9"/>
      <c r="I119" s="9"/>
      <c r="J119" s="9"/>
    </row>
    <row r="120" spans="1:10">
      <c r="A120" s="1">
        <v>112</v>
      </c>
      <c r="B120" s="1">
        <v>3</v>
      </c>
      <c r="C120" s="1">
        <v>336</v>
      </c>
      <c r="D120" s="9">
        <v>79682.666666666672</v>
      </c>
      <c r="E120" s="9">
        <v>3</v>
      </c>
      <c r="F120" s="9">
        <v>336</v>
      </c>
      <c r="G120" s="9">
        <v>79682.666666666672</v>
      </c>
      <c r="H120" s="9"/>
      <c r="I120" s="9"/>
      <c r="J120" s="9"/>
    </row>
    <row r="121" spans="1:10">
      <c r="A121" s="1">
        <v>113</v>
      </c>
      <c r="B121" s="1">
        <v>2</v>
      </c>
      <c r="C121" s="1">
        <v>226</v>
      </c>
      <c r="D121" s="9">
        <v>81086.5</v>
      </c>
      <c r="E121" s="9">
        <v>2</v>
      </c>
      <c r="F121" s="9">
        <v>226</v>
      </c>
      <c r="G121" s="9">
        <v>81086.5</v>
      </c>
      <c r="H121" s="9"/>
      <c r="I121" s="9"/>
      <c r="J121" s="9"/>
    </row>
    <row r="122" spans="1:10">
      <c r="A122" s="1">
        <v>114</v>
      </c>
      <c r="B122" s="1"/>
      <c r="C122" s="1"/>
      <c r="D122" s="9"/>
      <c r="E122" s="9"/>
      <c r="F122" s="9"/>
      <c r="G122" s="9"/>
      <c r="H122" s="9"/>
      <c r="I122" s="9"/>
      <c r="J122" s="9"/>
    </row>
    <row r="123" spans="1:10">
      <c r="A123" s="1">
        <v>115</v>
      </c>
      <c r="B123" s="1"/>
      <c r="C123" s="1"/>
      <c r="D123" s="9"/>
      <c r="E123" s="9"/>
      <c r="F123" s="9"/>
      <c r="G123" s="9"/>
      <c r="H123" s="9"/>
      <c r="I123" s="9"/>
      <c r="J123" s="9"/>
    </row>
    <row r="124" spans="1:10">
      <c r="A124" s="1">
        <v>116</v>
      </c>
      <c r="B124" s="1">
        <v>1</v>
      </c>
      <c r="C124" s="1">
        <v>116</v>
      </c>
      <c r="D124" s="9">
        <v>80500</v>
      </c>
      <c r="E124" s="9">
        <v>1</v>
      </c>
      <c r="F124" s="9">
        <v>116</v>
      </c>
      <c r="G124" s="9">
        <v>80500</v>
      </c>
      <c r="H124" s="9"/>
      <c r="I124" s="9"/>
      <c r="J124" s="9"/>
    </row>
    <row r="125" spans="1:10">
      <c r="A125" s="1">
        <v>117</v>
      </c>
      <c r="B125" s="1"/>
      <c r="C125" s="1"/>
      <c r="D125" s="9"/>
      <c r="E125" s="9"/>
      <c r="F125" s="9"/>
      <c r="G125" s="9"/>
      <c r="H125" s="9"/>
      <c r="I125" s="9"/>
      <c r="J125" s="9"/>
    </row>
    <row r="126" spans="1:10">
      <c r="A126" s="1">
        <v>118</v>
      </c>
      <c r="B126" s="1"/>
      <c r="C126" s="1"/>
      <c r="D126" s="9"/>
      <c r="E126" s="9"/>
      <c r="F126" s="9"/>
      <c r="G126" s="9"/>
      <c r="H126" s="9"/>
      <c r="I126" s="9"/>
      <c r="J126" s="9"/>
    </row>
    <row r="127" spans="1:10">
      <c r="A127" s="1">
        <v>119</v>
      </c>
      <c r="B127" s="1"/>
      <c r="C127" s="1"/>
      <c r="D127" s="9"/>
      <c r="E127" s="9"/>
      <c r="F127" s="9"/>
      <c r="G127" s="9"/>
      <c r="H127" s="9"/>
      <c r="I127" s="9"/>
      <c r="J127" s="9"/>
    </row>
    <row r="128" spans="1:10">
      <c r="A128" s="1">
        <v>120</v>
      </c>
      <c r="B128" s="1"/>
      <c r="C128" s="1"/>
      <c r="D128" s="9"/>
      <c r="E128" s="9"/>
      <c r="F128" s="9"/>
      <c r="G128" s="9"/>
      <c r="H128" s="9"/>
      <c r="I128" s="9"/>
      <c r="J128" s="9"/>
    </row>
    <row r="129" spans="1:10">
      <c r="A129" s="1">
        <v>121</v>
      </c>
      <c r="B129" s="1"/>
      <c r="C129" s="1"/>
      <c r="D129" s="9"/>
      <c r="E129" s="9"/>
      <c r="F129" s="9"/>
      <c r="G129" s="9"/>
      <c r="H129" s="9"/>
      <c r="I129" s="9"/>
      <c r="J129" s="9"/>
    </row>
    <row r="130" spans="1:10">
      <c r="A130" s="1">
        <v>122</v>
      </c>
      <c r="B130" s="1">
        <v>1</v>
      </c>
      <c r="C130" s="1">
        <v>122</v>
      </c>
      <c r="D130" s="9">
        <v>83500</v>
      </c>
      <c r="E130" s="9">
        <v>1</v>
      </c>
      <c r="F130" s="9">
        <v>122</v>
      </c>
      <c r="G130" s="9">
        <v>83500</v>
      </c>
      <c r="H130" s="9"/>
      <c r="I130" s="9"/>
      <c r="J130" s="9"/>
    </row>
    <row r="131" spans="1:10">
      <c r="A131" s="1">
        <v>123</v>
      </c>
      <c r="B131" s="1">
        <v>2</v>
      </c>
      <c r="C131" s="1">
        <v>246</v>
      </c>
      <c r="D131" s="9">
        <v>84000</v>
      </c>
      <c r="E131" s="9">
        <v>2</v>
      </c>
      <c r="F131" s="9">
        <v>246</v>
      </c>
      <c r="G131" s="9">
        <v>84000</v>
      </c>
      <c r="H131" s="9"/>
      <c r="I131" s="9"/>
      <c r="J131" s="9"/>
    </row>
    <row r="132" spans="1:10">
      <c r="A132" s="1">
        <v>124</v>
      </c>
      <c r="B132" s="1">
        <v>1</v>
      </c>
      <c r="C132" s="1">
        <v>124</v>
      </c>
      <c r="D132" s="9">
        <v>84500</v>
      </c>
      <c r="E132" s="9">
        <v>1</v>
      </c>
      <c r="F132" s="9">
        <v>124</v>
      </c>
      <c r="G132" s="9">
        <v>84500</v>
      </c>
      <c r="H132" s="9"/>
      <c r="I132" s="9"/>
      <c r="J132" s="9"/>
    </row>
    <row r="133" spans="1:10">
      <c r="A133" s="1">
        <v>125</v>
      </c>
      <c r="B133" s="1">
        <v>2</v>
      </c>
      <c r="C133" s="1">
        <v>250</v>
      </c>
      <c r="D133" s="9">
        <v>85000</v>
      </c>
      <c r="E133" s="9">
        <v>2</v>
      </c>
      <c r="F133" s="9">
        <v>250</v>
      </c>
      <c r="G133" s="9">
        <v>85000</v>
      </c>
      <c r="H133" s="9"/>
      <c r="I133" s="9"/>
      <c r="J133" s="9"/>
    </row>
    <row r="134" spans="1:10">
      <c r="A134" s="1">
        <v>126</v>
      </c>
      <c r="B134" s="1">
        <v>1</v>
      </c>
      <c r="C134" s="1">
        <v>126</v>
      </c>
      <c r="D134" s="9">
        <v>85500</v>
      </c>
      <c r="E134" s="9">
        <v>1</v>
      </c>
      <c r="F134" s="9">
        <v>126</v>
      </c>
      <c r="G134" s="9">
        <v>85500</v>
      </c>
      <c r="H134" s="9"/>
      <c r="I134" s="9"/>
      <c r="J134" s="9"/>
    </row>
    <row r="135" spans="1:10">
      <c r="A135" s="1">
        <v>127</v>
      </c>
      <c r="B135" s="1"/>
      <c r="C135" s="1"/>
      <c r="D135" s="9"/>
      <c r="E135" s="9"/>
      <c r="F135" s="9"/>
      <c r="G135" s="9"/>
      <c r="H135" s="9"/>
      <c r="I135" s="9"/>
      <c r="J135" s="9"/>
    </row>
    <row r="136" spans="1:10">
      <c r="A136" s="1">
        <v>128</v>
      </c>
      <c r="B136" s="1"/>
      <c r="C136" s="1"/>
      <c r="D136" s="9"/>
      <c r="E136" s="9"/>
      <c r="F136" s="9"/>
      <c r="G136" s="9"/>
      <c r="H136" s="9"/>
      <c r="I136" s="9"/>
      <c r="J136" s="9"/>
    </row>
    <row r="137" spans="1:10">
      <c r="A137" s="1">
        <v>129</v>
      </c>
      <c r="B137" s="1">
        <v>3</v>
      </c>
      <c r="C137" s="1">
        <v>387</v>
      </c>
      <c r="D137" s="9">
        <v>102397</v>
      </c>
      <c r="E137" s="9">
        <v>3</v>
      </c>
      <c r="F137" s="9">
        <v>387</v>
      </c>
      <c r="G137" s="9">
        <v>102397</v>
      </c>
      <c r="H137" s="9"/>
      <c r="I137" s="9"/>
      <c r="J137" s="9"/>
    </row>
    <row r="138" spans="1:10">
      <c r="A138" s="1">
        <v>130</v>
      </c>
      <c r="B138" s="1"/>
      <c r="C138" s="1"/>
      <c r="D138" s="9"/>
      <c r="E138" s="9"/>
      <c r="F138" s="9"/>
      <c r="G138" s="9"/>
      <c r="H138" s="9"/>
      <c r="I138" s="9"/>
      <c r="J138" s="9"/>
    </row>
    <row r="139" spans="1:10">
      <c r="A139" s="1">
        <v>131</v>
      </c>
      <c r="B139" s="1"/>
      <c r="C139" s="1"/>
      <c r="D139" s="9"/>
      <c r="E139" s="9"/>
      <c r="F139" s="9"/>
      <c r="G139" s="9"/>
      <c r="H139" s="9"/>
      <c r="I139" s="9"/>
      <c r="J139" s="9"/>
    </row>
    <row r="140" spans="1:10">
      <c r="A140" s="1">
        <v>132</v>
      </c>
      <c r="B140" s="1"/>
      <c r="C140" s="1"/>
      <c r="D140" s="9"/>
      <c r="E140" s="9"/>
      <c r="F140" s="9"/>
      <c r="G140" s="9"/>
      <c r="H140" s="9"/>
      <c r="I140" s="9"/>
      <c r="J140" s="9"/>
    </row>
    <row r="141" spans="1:10">
      <c r="A141" s="1">
        <v>133</v>
      </c>
      <c r="B141" s="1"/>
      <c r="C141" s="1"/>
      <c r="D141" s="9"/>
      <c r="E141" s="9"/>
      <c r="F141" s="9"/>
      <c r="G141" s="9"/>
      <c r="H141" s="9"/>
      <c r="I141" s="9"/>
      <c r="J141" s="9"/>
    </row>
    <row r="142" spans="1:10">
      <c r="A142" s="1">
        <v>134</v>
      </c>
      <c r="B142" s="1">
        <v>1</v>
      </c>
      <c r="C142" s="1">
        <v>134</v>
      </c>
      <c r="D142" s="9">
        <v>89500</v>
      </c>
      <c r="E142" s="9">
        <v>1</v>
      </c>
      <c r="F142" s="9">
        <v>134</v>
      </c>
      <c r="G142" s="9">
        <v>89500</v>
      </c>
      <c r="H142" s="9"/>
      <c r="I142" s="9"/>
      <c r="J142" s="9"/>
    </row>
    <row r="143" spans="1:10">
      <c r="A143" s="1">
        <v>135</v>
      </c>
      <c r="B143" s="1"/>
      <c r="C143" s="1"/>
      <c r="D143" s="9"/>
      <c r="E143" s="9"/>
      <c r="F143" s="9"/>
      <c r="G143" s="9"/>
      <c r="H143" s="9"/>
      <c r="I143" s="9"/>
      <c r="J143" s="9"/>
    </row>
    <row r="144" spans="1:10">
      <c r="A144" s="1">
        <v>137</v>
      </c>
      <c r="B144" s="1"/>
      <c r="C144" s="1"/>
      <c r="D144" s="9"/>
      <c r="E144" s="9"/>
      <c r="F144" s="9"/>
      <c r="G144" s="9"/>
      <c r="H144" s="9"/>
      <c r="I144" s="9"/>
      <c r="J144" s="9"/>
    </row>
    <row r="145" spans="1:10">
      <c r="A145" s="1">
        <v>138</v>
      </c>
      <c r="B145" s="1">
        <v>1</v>
      </c>
      <c r="C145" s="1">
        <v>138</v>
      </c>
      <c r="D145" s="9">
        <v>91500</v>
      </c>
      <c r="E145" s="9">
        <v>1</v>
      </c>
      <c r="F145" s="9">
        <v>138</v>
      </c>
      <c r="G145" s="9">
        <v>91500</v>
      </c>
      <c r="H145" s="9"/>
      <c r="I145" s="9"/>
      <c r="J145" s="9"/>
    </row>
    <row r="146" spans="1:10">
      <c r="A146" s="1">
        <v>139</v>
      </c>
      <c r="B146" s="1"/>
      <c r="C146" s="1"/>
      <c r="D146" s="9"/>
      <c r="E146" s="9"/>
      <c r="F146" s="9"/>
      <c r="G146" s="9"/>
      <c r="H146" s="9"/>
      <c r="I146" s="9"/>
      <c r="J146" s="9"/>
    </row>
    <row r="147" spans="1:10">
      <c r="A147" s="1">
        <v>140</v>
      </c>
      <c r="B147" s="1"/>
      <c r="C147" s="1"/>
      <c r="D147" s="9"/>
      <c r="E147" s="9"/>
      <c r="F147" s="9"/>
      <c r="G147" s="9"/>
      <c r="H147" s="9"/>
      <c r="I147" s="9"/>
      <c r="J147" s="9"/>
    </row>
    <row r="148" spans="1:10">
      <c r="A148" s="1">
        <v>141</v>
      </c>
      <c r="B148" s="1"/>
      <c r="C148" s="1"/>
      <c r="D148" s="9"/>
      <c r="E148" s="9"/>
      <c r="F148" s="9"/>
      <c r="G148" s="9"/>
      <c r="H148" s="9"/>
      <c r="I148" s="9"/>
      <c r="J148" s="9"/>
    </row>
    <row r="149" spans="1:10">
      <c r="A149" s="1">
        <v>142</v>
      </c>
      <c r="B149" s="1"/>
      <c r="C149" s="1"/>
      <c r="D149" s="9"/>
      <c r="E149" s="9"/>
      <c r="F149" s="9"/>
      <c r="G149" s="9"/>
      <c r="H149" s="9"/>
      <c r="I149" s="9"/>
      <c r="J149" s="9"/>
    </row>
    <row r="150" spans="1:10">
      <c r="A150" s="1">
        <v>143</v>
      </c>
      <c r="B150" s="1"/>
      <c r="C150" s="1"/>
      <c r="D150" s="9"/>
      <c r="E150" s="9"/>
      <c r="F150" s="9"/>
      <c r="G150" s="9"/>
      <c r="H150" s="9"/>
      <c r="I150" s="9"/>
      <c r="J150" s="9"/>
    </row>
    <row r="151" spans="1:10">
      <c r="A151" s="1">
        <v>144</v>
      </c>
      <c r="B151" s="1"/>
      <c r="C151" s="1"/>
      <c r="D151" s="9"/>
      <c r="E151" s="9"/>
      <c r="F151" s="9"/>
      <c r="G151" s="9"/>
      <c r="H151" s="9"/>
      <c r="I151" s="9"/>
      <c r="J151" s="9"/>
    </row>
    <row r="152" spans="1:10">
      <c r="A152" s="1">
        <v>145</v>
      </c>
      <c r="B152" s="1">
        <v>1</v>
      </c>
      <c r="C152" s="1">
        <v>145</v>
      </c>
      <c r="D152" s="9">
        <v>95000</v>
      </c>
      <c r="E152" s="9">
        <v>1</v>
      </c>
      <c r="F152" s="9">
        <v>145</v>
      </c>
      <c r="G152" s="9">
        <v>95000</v>
      </c>
      <c r="H152" s="9"/>
      <c r="I152" s="9"/>
      <c r="J152" s="9"/>
    </row>
    <row r="153" spans="1:10">
      <c r="A153" s="1">
        <v>146</v>
      </c>
      <c r="B153" s="1"/>
      <c r="C153" s="1"/>
      <c r="D153" s="9"/>
      <c r="E153" s="9"/>
      <c r="F153" s="9"/>
      <c r="G153" s="9"/>
      <c r="H153" s="9"/>
      <c r="I153" s="9"/>
      <c r="J153" s="9"/>
    </row>
    <row r="154" spans="1:10">
      <c r="A154" s="1">
        <v>147</v>
      </c>
      <c r="B154" s="1">
        <v>1</v>
      </c>
      <c r="C154" s="1">
        <v>147</v>
      </c>
      <c r="D154" s="9">
        <v>96000</v>
      </c>
      <c r="E154" s="9">
        <v>1</v>
      </c>
      <c r="F154" s="9">
        <v>147</v>
      </c>
      <c r="G154" s="9">
        <v>96000</v>
      </c>
      <c r="H154" s="9"/>
      <c r="I154" s="9"/>
      <c r="J154" s="9"/>
    </row>
    <row r="155" spans="1:10">
      <c r="A155" s="1">
        <v>148</v>
      </c>
      <c r="B155" s="1"/>
      <c r="C155" s="1"/>
      <c r="D155" s="9"/>
      <c r="E155" s="9"/>
      <c r="F155" s="9"/>
      <c r="G155" s="9"/>
      <c r="H155" s="9"/>
      <c r="I155" s="9"/>
      <c r="J155" s="9"/>
    </row>
    <row r="156" spans="1:10">
      <c r="A156" s="1">
        <v>150</v>
      </c>
      <c r="B156" s="1"/>
      <c r="C156" s="1"/>
      <c r="D156" s="9"/>
      <c r="E156" s="9"/>
      <c r="F156" s="9"/>
      <c r="G156" s="9"/>
      <c r="H156" s="9"/>
      <c r="I156" s="9"/>
      <c r="J156" s="9"/>
    </row>
    <row r="157" spans="1:10">
      <c r="A157" s="1">
        <v>151</v>
      </c>
      <c r="B157" s="1"/>
      <c r="C157" s="1"/>
      <c r="D157" s="9"/>
      <c r="E157" s="9"/>
      <c r="F157" s="9"/>
      <c r="G157" s="9"/>
      <c r="H157" s="9"/>
      <c r="I157" s="9"/>
      <c r="J157" s="9"/>
    </row>
    <row r="158" spans="1:10">
      <c r="A158" s="1">
        <v>152</v>
      </c>
      <c r="B158" s="1">
        <v>1</v>
      </c>
      <c r="C158" s="1">
        <v>152</v>
      </c>
      <c r="D158" s="9">
        <v>98500</v>
      </c>
      <c r="E158" s="9">
        <v>1</v>
      </c>
      <c r="F158" s="9">
        <v>152</v>
      </c>
      <c r="G158" s="9">
        <v>98500</v>
      </c>
      <c r="H158" s="9"/>
      <c r="I158" s="9"/>
      <c r="J158" s="9"/>
    </row>
    <row r="159" spans="1:10">
      <c r="A159" s="1">
        <v>153</v>
      </c>
      <c r="B159" s="1"/>
      <c r="C159" s="1"/>
      <c r="D159" s="9"/>
      <c r="E159" s="9"/>
      <c r="F159" s="9"/>
      <c r="G159" s="9"/>
      <c r="H159" s="9"/>
      <c r="I159" s="9"/>
      <c r="J159" s="9"/>
    </row>
    <row r="160" spans="1:10">
      <c r="A160" s="1">
        <v>155</v>
      </c>
      <c r="B160" s="1"/>
      <c r="C160" s="1"/>
      <c r="D160" s="9"/>
      <c r="E160" s="9"/>
      <c r="F160" s="9"/>
      <c r="G160" s="9"/>
      <c r="H160" s="9"/>
      <c r="I160" s="9"/>
      <c r="J160" s="9"/>
    </row>
    <row r="161" spans="1:10">
      <c r="A161" s="1">
        <v>156</v>
      </c>
      <c r="B161" s="1"/>
      <c r="C161" s="1"/>
      <c r="D161" s="9"/>
      <c r="E161" s="9"/>
      <c r="F161" s="9"/>
      <c r="G161" s="9"/>
      <c r="H161" s="9"/>
      <c r="I161" s="9"/>
      <c r="J161" s="9"/>
    </row>
    <row r="162" spans="1:10">
      <c r="A162" s="1">
        <v>157</v>
      </c>
      <c r="B162" s="1"/>
      <c r="C162" s="1"/>
      <c r="D162" s="9"/>
      <c r="E162" s="9"/>
      <c r="F162" s="9"/>
      <c r="G162" s="9"/>
      <c r="H162" s="9"/>
      <c r="I162" s="9"/>
      <c r="J162" s="9"/>
    </row>
    <row r="163" spans="1:10">
      <c r="A163" s="1">
        <v>158</v>
      </c>
      <c r="B163" s="1">
        <v>1</v>
      </c>
      <c r="C163" s="1">
        <v>158</v>
      </c>
      <c r="D163" s="9">
        <v>101500</v>
      </c>
      <c r="E163" s="9">
        <v>1</v>
      </c>
      <c r="F163" s="9">
        <v>158</v>
      </c>
      <c r="G163" s="9">
        <v>101500</v>
      </c>
      <c r="H163" s="9"/>
      <c r="I163" s="9"/>
      <c r="J163" s="9"/>
    </row>
    <row r="164" spans="1:10">
      <c r="A164" s="1">
        <v>159</v>
      </c>
      <c r="B164" s="1"/>
      <c r="C164" s="1"/>
      <c r="D164" s="9"/>
      <c r="E164" s="9"/>
      <c r="F164" s="9"/>
      <c r="G164" s="9"/>
      <c r="H164" s="9"/>
      <c r="I164" s="9"/>
      <c r="J164" s="9"/>
    </row>
    <row r="165" spans="1:10">
      <c r="A165" s="1">
        <v>160</v>
      </c>
      <c r="B165" s="1"/>
      <c r="C165" s="1"/>
      <c r="D165" s="9"/>
      <c r="E165" s="9"/>
      <c r="F165" s="9"/>
      <c r="G165" s="9"/>
      <c r="H165" s="9"/>
      <c r="I165" s="9"/>
      <c r="J165" s="9"/>
    </row>
    <row r="166" spans="1:10">
      <c r="A166" s="1">
        <v>165</v>
      </c>
      <c r="B166" s="1">
        <v>1</v>
      </c>
      <c r="C166" s="1">
        <v>165</v>
      </c>
      <c r="D166" s="9">
        <v>105000</v>
      </c>
      <c r="E166" s="9">
        <v>1</v>
      </c>
      <c r="F166" s="9">
        <v>165</v>
      </c>
      <c r="G166" s="9">
        <v>105000</v>
      </c>
      <c r="H166" s="9"/>
      <c r="I166" s="9"/>
      <c r="J166" s="9"/>
    </row>
    <row r="167" spans="1:10">
      <c r="A167" s="1">
        <v>167</v>
      </c>
      <c r="B167" s="1"/>
      <c r="C167" s="1"/>
      <c r="D167" s="9"/>
      <c r="E167" s="9"/>
      <c r="F167" s="9"/>
      <c r="G167" s="9"/>
      <c r="H167" s="9"/>
      <c r="I167" s="9"/>
      <c r="J167" s="9"/>
    </row>
    <row r="168" spans="1:10">
      <c r="A168" s="1">
        <v>168</v>
      </c>
      <c r="B168" s="1"/>
      <c r="C168" s="1"/>
      <c r="D168" s="9"/>
      <c r="E168" s="9"/>
      <c r="F168" s="9"/>
      <c r="G168" s="9"/>
      <c r="H168" s="9"/>
      <c r="I168" s="9"/>
      <c r="J168" s="9"/>
    </row>
    <row r="169" spans="1:10">
      <c r="A169" s="1">
        <v>170</v>
      </c>
      <c r="B169" s="1"/>
      <c r="C169" s="1"/>
      <c r="D169" s="9"/>
      <c r="E169" s="9"/>
      <c r="F169" s="9"/>
      <c r="G169" s="9"/>
      <c r="H169" s="9"/>
      <c r="I169" s="9"/>
      <c r="J169" s="9"/>
    </row>
    <row r="170" spans="1:10">
      <c r="A170" s="1">
        <v>179</v>
      </c>
      <c r="B170" s="1"/>
      <c r="C170" s="1"/>
      <c r="D170" s="9"/>
      <c r="E170" s="9"/>
      <c r="F170" s="9"/>
      <c r="G170" s="9"/>
      <c r="H170" s="9"/>
      <c r="I170" s="9"/>
      <c r="J170" s="9"/>
    </row>
    <row r="171" spans="1:10">
      <c r="A171" s="2"/>
      <c r="B171" s="2">
        <v>7493</v>
      </c>
      <c r="C171" s="2">
        <v>199841</v>
      </c>
      <c r="D171" s="10">
        <v>31963.537034565594</v>
      </c>
      <c r="E171" s="10">
        <v>7359</v>
      </c>
      <c r="F171" s="10">
        <v>195914</v>
      </c>
      <c r="G171" s="10">
        <v>30691.58187253703</v>
      </c>
      <c r="H171" s="21">
        <v>134</v>
      </c>
      <c r="I171" s="21">
        <v>3927</v>
      </c>
      <c r="J171" s="10">
        <v>101816.65671641791</v>
      </c>
    </row>
  </sheetData>
  <mergeCells count="3">
    <mergeCell ref="B6:D6"/>
    <mergeCell ref="E6:G6"/>
    <mergeCell ref="H6:J6"/>
  </mergeCells>
  <pageMargins left="0" right="0" top="0" bottom="0" header="0.3" footer="0.3"/>
  <pageSetup fitToHeight="0" orientation="portrait" r:id="rId1"/>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9"/>
  <sheetViews>
    <sheetView topLeftCell="A43" workbookViewId="0">
      <selection activeCell="C57" sqref="C57"/>
    </sheetView>
  </sheetViews>
  <sheetFormatPr defaultColWidth="9.140625" defaultRowHeight="17.25" outlineLevelCol="1"/>
  <cols>
    <col min="1" max="1" width="7.85546875" style="244" customWidth="1"/>
    <col min="2" max="2" width="55.7109375" style="244" bestFit="1" customWidth="1"/>
    <col min="3" max="4" width="11.28515625" style="28" customWidth="1"/>
    <col min="5" max="5" width="13.42578125" style="28" customWidth="1"/>
    <col min="6" max="6" width="12.85546875" style="28" customWidth="1"/>
    <col min="7" max="7" width="17.28515625" style="28" hidden="1" customWidth="1" outlineLevel="1"/>
    <col min="8" max="8" width="10.140625" style="28" hidden="1" customWidth="1" outlineLevel="1"/>
    <col min="9" max="9" width="11.140625" style="28" customWidth="1" collapsed="1"/>
    <col min="10" max="16384" width="9.140625" style="28"/>
  </cols>
  <sheetData>
    <row r="1" spans="1:10" ht="45" customHeight="1">
      <c r="C1" s="625" t="s">
        <v>196</v>
      </c>
      <c r="D1" s="625"/>
      <c r="E1" s="625" t="s">
        <v>197</v>
      </c>
      <c r="F1" s="625"/>
      <c r="G1" s="625" t="s">
        <v>198</v>
      </c>
      <c r="H1" s="625"/>
      <c r="I1" s="28">
        <v>2024</v>
      </c>
      <c r="J1" s="28">
        <v>2025</v>
      </c>
    </row>
    <row r="2" spans="1:10">
      <c r="C2" s="294" t="s">
        <v>199</v>
      </c>
      <c r="D2" s="294" t="s">
        <v>200</v>
      </c>
      <c r="E2" s="294" t="s">
        <v>199</v>
      </c>
      <c r="F2" s="294" t="s">
        <v>200</v>
      </c>
      <c r="G2" s="294" t="s">
        <v>199</v>
      </c>
      <c r="H2" s="294" t="s">
        <v>200</v>
      </c>
    </row>
    <row r="3" spans="1:10">
      <c r="A3" s="242"/>
      <c r="B3" s="295" t="s">
        <v>56</v>
      </c>
      <c r="C3" s="296"/>
      <c r="D3" s="296"/>
      <c r="E3" s="296"/>
      <c r="F3" s="296"/>
      <c r="G3" s="296"/>
      <c r="H3" s="296"/>
    </row>
    <row r="4" spans="1:10">
      <c r="A4" s="297" t="s">
        <v>57</v>
      </c>
      <c r="B4" s="295"/>
      <c r="C4" s="298"/>
      <c r="D4" s="298"/>
      <c r="E4" s="298"/>
      <c r="F4" s="298"/>
      <c r="G4" s="298"/>
      <c r="H4" s="298"/>
    </row>
    <row r="5" spans="1:10">
      <c r="A5" s="242">
        <v>1.1000000000000001</v>
      </c>
      <c r="B5" s="242" t="s">
        <v>22</v>
      </c>
      <c r="C5" s="299">
        <v>19000</v>
      </c>
      <c r="D5" s="299">
        <v>20000</v>
      </c>
      <c r="E5" s="299" t="e">
        <f>+#REF!</f>
        <v>#REF!</v>
      </c>
      <c r="F5" s="299" t="e">
        <f>+#REF!</f>
        <v>#REF!</v>
      </c>
      <c r="G5" s="299" t="e">
        <f>+E5</f>
        <v>#REF!</v>
      </c>
      <c r="H5" s="299">
        <v>36000</v>
      </c>
    </row>
    <row r="6" spans="1:10">
      <c r="A6" s="242">
        <v>1.2</v>
      </c>
      <c r="B6" s="242" t="s">
        <v>23</v>
      </c>
      <c r="C6" s="299">
        <v>29650</v>
      </c>
      <c r="D6" s="299">
        <v>30700</v>
      </c>
      <c r="E6" s="299" t="e">
        <f>+#REF!</f>
        <v>#REF!</v>
      </c>
      <c r="F6" s="299" t="e">
        <f>+#REF!</f>
        <v>#REF!</v>
      </c>
      <c r="G6" s="299" t="e">
        <f t="shared" ref="G6:G47" si="0">+E6</f>
        <v>#REF!</v>
      </c>
      <c r="H6" s="299"/>
    </row>
    <row r="7" spans="1:10">
      <c r="A7" s="242">
        <v>1.3</v>
      </c>
      <c r="B7" s="242" t="s">
        <v>156</v>
      </c>
      <c r="C7" s="300"/>
      <c r="D7" s="300"/>
      <c r="E7" s="299"/>
      <c r="F7" s="300" t="e">
        <f>+#REF!</f>
        <v>#REF!</v>
      </c>
      <c r="G7" s="300">
        <f t="shared" si="0"/>
        <v>0</v>
      </c>
      <c r="H7" s="300"/>
    </row>
    <row r="8" spans="1:10">
      <c r="A8" s="242"/>
      <c r="B8" s="301" t="s">
        <v>33</v>
      </c>
      <c r="C8" s="299">
        <v>41510</v>
      </c>
      <c r="D8" s="299">
        <v>38700</v>
      </c>
      <c r="E8" s="299" t="e">
        <f>+#REF!</f>
        <v>#REF!</v>
      </c>
      <c r="F8" s="299" t="e">
        <f>+#REF!</f>
        <v>#REF!</v>
      </c>
      <c r="G8" s="299" t="e">
        <f t="shared" si="0"/>
        <v>#REF!</v>
      </c>
      <c r="H8" s="299">
        <v>50400</v>
      </c>
    </row>
    <row r="9" spans="1:10">
      <c r="A9" s="242"/>
      <c r="B9" s="301" t="s">
        <v>34</v>
      </c>
      <c r="C9" s="299">
        <v>35580</v>
      </c>
      <c r="D9" s="299">
        <v>34700</v>
      </c>
      <c r="E9" s="299" t="e">
        <f>+#REF!</f>
        <v>#REF!</v>
      </c>
      <c r="F9" s="299" t="e">
        <f>+#REF!</f>
        <v>#REF!</v>
      </c>
      <c r="G9" s="299" t="e">
        <f t="shared" si="0"/>
        <v>#REF!</v>
      </c>
      <c r="H9" s="299">
        <v>43200</v>
      </c>
    </row>
    <row r="10" spans="1:10">
      <c r="A10" s="242"/>
      <c r="B10" s="301" t="s">
        <v>35</v>
      </c>
      <c r="C10" s="299">
        <v>29650</v>
      </c>
      <c r="D10" s="299">
        <v>30700</v>
      </c>
      <c r="E10" s="299" t="e">
        <f>+#REF!</f>
        <v>#REF!</v>
      </c>
      <c r="F10" s="299" t="e">
        <f>+#REF!</f>
        <v>#REF!</v>
      </c>
      <c r="G10" s="299" t="e">
        <f t="shared" si="0"/>
        <v>#REF!</v>
      </c>
      <c r="H10" s="299">
        <v>36000</v>
      </c>
    </row>
    <row r="11" spans="1:10" ht="34.5">
      <c r="A11" s="242">
        <v>1.4</v>
      </c>
      <c r="B11" s="302" t="s">
        <v>62</v>
      </c>
      <c r="C11" s="299">
        <v>950</v>
      </c>
      <c r="D11" s="299">
        <v>950</v>
      </c>
      <c r="E11" s="299" t="e">
        <f>+#REF!</f>
        <v>#REF!</v>
      </c>
      <c r="F11" s="299" t="e">
        <f>+#REF!</f>
        <v>#REF!</v>
      </c>
      <c r="G11" s="299" t="e">
        <f t="shared" si="0"/>
        <v>#REF!</v>
      </c>
      <c r="H11" s="299">
        <v>0</v>
      </c>
    </row>
    <row r="12" spans="1:10" ht="34.5">
      <c r="A12" s="242">
        <v>1.5</v>
      </c>
      <c r="B12" s="302" t="s">
        <v>63</v>
      </c>
      <c r="C12" s="299">
        <v>575</v>
      </c>
      <c r="D12" s="299">
        <v>650</v>
      </c>
      <c r="E12" s="299" t="e">
        <f>+#REF!</f>
        <v>#REF!</v>
      </c>
      <c r="F12" s="299" t="e">
        <f>+#REF!</f>
        <v>#REF!</v>
      </c>
      <c r="G12" s="299" t="e">
        <f t="shared" si="0"/>
        <v>#REF!</v>
      </c>
      <c r="H12" s="299">
        <v>500</v>
      </c>
    </row>
    <row r="13" spans="1:10">
      <c r="A13" s="242">
        <v>1.6</v>
      </c>
      <c r="B13" s="302" t="s">
        <v>201</v>
      </c>
      <c r="C13" s="299">
        <v>46598.228312185318</v>
      </c>
      <c r="D13" s="299">
        <v>49647.238415395121</v>
      </c>
      <c r="E13" s="299" t="e">
        <f>+#REF!</f>
        <v>#REF!</v>
      </c>
      <c r="F13" s="299" t="e">
        <f>+#REF!</f>
        <v>#REF!</v>
      </c>
      <c r="G13" s="299" t="e">
        <f t="shared" si="0"/>
        <v>#REF!</v>
      </c>
      <c r="H13" s="299">
        <v>49528.501934126965</v>
      </c>
    </row>
    <row r="14" spans="1:10">
      <c r="A14" s="242">
        <v>1.7</v>
      </c>
      <c r="B14" s="303" t="s">
        <v>202</v>
      </c>
      <c r="C14" s="300">
        <v>7.070123741900769E-2</v>
      </c>
      <c r="D14" s="300">
        <v>0.14075891393249229</v>
      </c>
      <c r="E14" s="300">
        <v>7.0576399088786657E-2</v>
      </c>
      <c r="F14" s="300" t="e">
        <f>+#REF!</f>
        <v>#REF!</v>
      </c>
      <c r="G14" s="300">
        <f t="shared" si="0"/>
        <v>7.0576399088786657E-2</v>
      </c>
      <c r="H14" s="300"/>
    </row>
    <row r="15" spans="1:10">
      <c r="A15" s="242">
        <v>1.8</v>
      </c>
      <c r="B15" s="303" t="s">
        <v>203</v>
      </c>
      <c r="C15" s="304">
        <v>129.36516267217928</v>
      </c>
      <c r="D15" s="304">
        <v>137.83125905568093</v>
      </c>
      <c r="E15" s="304">
        <v>129.35007935077047</v>
      </c>
      <c r="F15" s="304" t="e">
        <f>+#REF!</f>
        <v>#REF!</v>
      </c>
      <c r="G15" s="304">
        <f t="shared" si="0"/>
        <v>129.35007935077047</v>
      </c>
      <c r="H15" s="304">
        <f>274.99296059016/2</f>
        <v>137.49648029508</v>
      </c>
      <c r="I15" s="305"/>
    </row>
    <row r="16" spans="1:10">
      <c r="A16" s="244">
        <v>1.9</v>
      </c>
      <c r="B16" s="303" t="s">
        <v>202</v>
      </c>
      <c r="C16" s="300">
        <v>-0.46245480715388776</v>
      </c>
      <c r="D16" s="300">
        <v>0.14646013391735946</v>
      </c>
      <c r="E16" s="300">
        <v>-0.46251748219520472</v>
      </c>
      <c r="F16" s="300" t="e">
        <f>+#REF!</f>
        <v>#REF!</v>
      </c>
      <c r="G16" s="300">
        <f t="shared" si="0"/>
        <v>-0.46251748219520472</v>
      </c>
      <c r="H16" s="300"/>
    </row>
    <row r="17" spans="1:9">
      <c r="A17" s="297" t="s">
        <v>204</v>
      </c>
      <c r="B17" s="242"/>
      <c r="C17" s="299"/>
      <c r="D17" s="299"/>
      <c r="E17" s="299"/>
      <c r="F17" s="299"/>
      <c r="G17" s="299"/>
      <c r="H17" s="299"/>
    </row>
    <row r="18" spans="1:9">
      <c r="A18" s="242">
        <v>2.1</v>
      </c>
      <c r="B18" s="242" t="s">
        <v>22</v>
      </c>
      <c r="C18" s="306">
        <v>19000</v>
      </c>
      <c r="D18" s="306">
        <v>20000</v>
      </c>
      <c r="E18" s="306">
        <v>20000</v>
      </c>
      <c r="F18" s="306" t="e">
        <f>+#REF!</f>
        <v>#REF!</v>
      </c>
      <c r="G18" s="306">
        <f t="shared" si="0"/>
        <v>20000</v>
      </c>
      <c r="H18" s="298">
        <f>+H5</f>
        <v>36000</v>
      </c>
    </row>
    <row r="19" spans="1:9">
      <c r="A19" s="242">
        <v>2.2000000000000002</v>
      </c>
      <c r="B19" s="303" t="s">
        <v>59</v>
      </c>
      <c r="C19" s="306">
        <v>1700</v>
      </c>
      <c r="D19" s="306">
        <v>1800</v>
      </c>
      <c r="E19" s="306">
        <v>1600</v>
      </c>
      <c r="F19" s="306" t="e">
        <f>+#REF!</f>
        <v>#REF!</v>
      </c>
      <c r="G19" s="306">
        <f t="shared" si="0"/>
        <v>1600</v>
      </c>
      <c r="H19" s="298">
        <v>1760</v>
      </c>
    </row>
    <row r="20" spans="1:9" ht="69">
      <c r="A20" s="242">
        <v>2.2999999999999998</v>
      </c>
      <c r="B20" s="302" t="s">
        <v>66</v>
      </c>
      <c r="C20" s="299"/>
      <c r="D20" s="299"/>
      <c r="E20" s="299"/>
      <c r="F20" s="299" t="e">
        <f>+#REF!</f>
        <v>#REF!</v>
      </c>
      <c r="G20" s="299">
        <f t="shared" si="0"/>
        <v>0</v>
      </c>
      <c r="H20" s="299"/>
    </row>
    <row r="21" spans="1:9">
      <c r="A21" s="242"/>
      <c r="B21" s="307" t="s">
        <v>33</v>
      </c>
      <c r="C21" s="306">
        <v>46000</v>
      </c>
      <c r="D21" s="306">
        <v>46000</v>
      </c>
      <c r="E21" s="306">
        <v>45000</v>
      </c>
      <c r="F21" s="306" t="e">
        <f>+#REF!</f>
        <v>#REF!</v>
      </c>
      <c r="G21" s="306">
        <f t="shared" si="0"/>
        <v>45000</v>
      </c>
      <c r="H21" s="298">
        <v>46000</v>
      </c>
    </row>
    <row r="22" spans="1:9">
      <c r="A22" s="242"/>
      <c r="B22" s="307" t="s">
        <v>34</v>
      </c>
      <c r="C22" s="306">
        <v>36000</v>
      </c>
      <c r="D22" s="306">
        <v>36000</v>
      </c>
      <c r="E22" s="306">
        <v>35000</v>
      </c>
      <c r="F22" s="306" t="e">
        <f>+#REF!</f>
        <v>#REF!</v>
      </c>
      <c r="G22" s="306">
        <f t="shared" si="0"/>
        <v>35000</v>
      </c>
      <c r="H22" s="298">
        <v>36000</v>
      </c>
    </row>
    <row r="23" spans="1:9">
      <c r="A23" s="242"/>
      <c r="B23" s="307" t="s">
        <v>35</v>
      </c>
      <c r="C23" s="306">
        <v>33000</v>
      </c>
      <c r="D23" s="306">
        <v>33000</v>
      </c>
      <c r="E23" s="306">
        <v>32000</v>
      </c>
      <c r="F23" s="306" t="e">
        <f>+#REF!</f>
        <v>#REF!</v>
      </c>
      <c r="G23" s="306">
        <f t="shared" si="0"/>
        <v>32000</v>
      </c>
      <c r="H23" s="298">
        <v>33000</v>
      </c>
    </row>
    <row r="24" spans="1:9" ht="86.25">
      <c r="A24" s="242">
        <v>2.4</v>
      </c>
      <c r="B24" s="302" t="s">
        <v>205</v>
      </c>
      <c r="C24" s="306"/>
      <c r="D24" s="306"/>
      <c r="E24" s="306"/>
      <c r="F24" s="306" t="e">
        <f>+#REF!</f>
        <v>#REF!</v>
      </c>
      <c r="G24" s="306">
        <f t="shared" si="0"/>
        <v>0</v>
      </c>
      <c r="H24" s="306"/>
    </row>
    <row r="25" spans="1:9" ht="34.5">
      <c r="A25" s="242"/>
      <c r="B25" s="308" t="s">
        <v>67</v>
      </c>
      <c r="C25" s="309">
        <v>33000</v>
      </c>
      <c r="D25" s="309">
        <v>33000</v>
      </c>
      <c r="E25" s="309">
        <v>32000</v>
      </c>
      <c r="F25" s="309" t="e">
        <f>+#REF!</f>
        <v>#REF!</v>
      </c>
      <c r="G25" s="309">
        <f t="shared" si="0"/>
        <v>32000</v>
      </c>
      <c r="H25" s="309">
        <v>33000</v>
      </c>
    </row>
    <row r="26" spans="1:9" ht="34.5">
      <c r="A26" s="242"/>
      <c r="B26" s="308" t="s">
        <v>58</v>
      </c>
      <c r="C26" s="310">
        <v>95000</v>
      </c>
      <c r="D26" s="310">
        <v>100000</v>
      </c>
      <c r="E26" s="310">
        <v>90000</v>
      </c>
      <c r="F26" s="310" t="e">
        <f>+#REF!</f>
        <v>#REF!</v>
      </c>
      <c r="G26" s="310">
        <f t="shared" si="0"/>
        <v>90000</v>
      </c>
      <c r="H26" s="310">
        <v>108000</v>
      </c>
    </row>
    <row r="27" spans="1:9">
      <c r="A27" s="242">
        <v>2.5</v>
      </c>
      <c r="B27" s="302" t="s">
        <v>206</v>
      </c>
      <c r="C27" s="299">
        <v>81978.896442176148</v>
      </c>
      <c r="D27" s="299">
        <v>86261.699492087355</v>
      </c>
      <c r="E27" s="299">
        <v>82747.114236194437</v>
      </c>
      <c r="F27" s="299" t="e">
        <f>+#REF!</f>
        <v>#REF!</v>
      </c>
      <c r="G27" s="299">
        <f t="shared" si="0"/>
        <v>82747.114236194437</v>
      </c>
      <c r="H27" s="299">
        <v>130499.650151895</v>
      </c>
    </row>
    <row r="28" spans="1:9">
      <c r="A28" s="242">
        <v>2.6</v>
      </c>
      <c r="B28" s="303" t="s">
        <v>202</v>
      </c>
      <c r="C28" s="300">
        <v>5.7657247000069578E-2</v>
      </c>
      <c r="D28" s="300">
        <v>0.11373577801946433</v>
      </c>
      <c r="E28" s="300">
        <v>6.7568469916944762E-2</v>
      </c>
      <c r="F28" s="300" t="e">
        <f>+#REF!</f>
        <v>#REF!</v>
      </c>
      <c r="G28" s="300">
        <f t="shared" si="0"/>
        <v>6.7568469916944762E-2</v>
      </c>
      <c r="H28" s="300"/>
    </row>
    <row r="29" spans="1:9">
      <c r="A29" s="242">
        <v>2.7</v>
      </c>
      <c r="B29" s="303" t="s">
        <v>203</v>
      </c>
      <c r="C29" s="304">
        <v>17.674486115140294</v>
      </c>
      <c r="D29" s="304">
        <v>18.597849887095048</v>
      </c>
      <c r="E29" s="304">
        <v>17.840112335095046</v>
      </c>
      <c r="F29" s="304" t="e">
        <f>+#REF!</f>
        <v>#REF!</v>
      </c>
      <c r="G29" s="304">
        <f t="shared" si="0"/>
        <v>17.840112335095046</v>
      </c>
      <c r="H29" s="304">
        <f>54.156989414016/2</f>
        <v>27.078494707008002</v>
      </c>
      <c r="I29" s="305"/>
    </row>
    <row r="30" spans="1:9">
      <c r="A30" s="242">
        <v>2.8</v>
      </c>
      <c r="B30" s="303" t="s">
        <v>202</v>
      </c>
      <c r="C30" s="300">
        <v>-0.4659072085386804</v>
      </c>
      <c r="D30" s="300">
        <v>0.124822341680076</v>
      </c>
      <c r="E30" s="300">
        <v>-0.46090226697610537</v>
      </c>
      <c r="F30" s="300" t="e">
        <f>+#REF!</f>
        <v>#REF!</v>
      </c>
      <c r="G30" s="300">
        <f t="shared" si="0"/>
        <v>-0.46090226697610537</v>
      </c>
      <c r="H30" s="300"/>
    </row>
    <row r="31" spans="1:9">
      <c r="A31" s="297" t="s">
        <v>207</v>
      </c>
      <c r="B31" s="242"/>
      <c r="C31" s="299"/>
      <c r="D31" s="299"/>
      <c r="E31" s="299"/>
      <c r="F31" s="299" t="e">
        <f>+#REF!</f>
        <v>#REF!</v>
      </c>
      <c r="G31" s="299">
        <f t="shared" si="0"/>
        <v>0</v>
      </c>
      <c r="H31" s="299"/>
    </row>
    <row r="32" spans="1:9">
      <c r="A32" s="242">
        <v>3.1</v>
      </c>
      <c r="B32" s="242" t="s">
        <v>22</v>
      </c>
      <c r="C32" s="310">
        <v>14500</v>
      </c>
      <c r="D32" s="310">
        <v>15000</v>
      </c>
      <c r="E32" s="310">
        <v>14000</v>
      </c>
      <c r="F32" s="310" t="e">
        <f>+#REF!</f>
        <v>#REF!</v>
      </c>
      <c r="G32" s="310">
        <f t="shared" si="0"/>
        <v>14000</v>
      </c>
      <c r="H32" s="310">
        <v>14000</v>
      </c>
    </row>
    <row r="33" spans="1:9">
      <c r="A33" s="242">
        <v>3.2</v>
      </c>
      <c r="B33" s="302" t="s">
        <v>61</v>
      </c>
      <c r="C33" s="310">
        <v>5000</v>
      </c>
      <c r="D33" s="310">
        <v>5000</v>
      </c>
      <c r="E33" s="310">
        <v>5000</v>
      </c>
      <c r="F33" s="310" t="e">
        <f>+#REF!</f>
        <v>#REF!</v>
      </c>
      <c r="G33" s="310">
        <f t="shared" si="0"/>
        <v>5000</v>
      </c>
      <c r="H33" s="310">
        <v>5000</v>
      </c>
    </row>
    <row r="34" spans="1:9">
      <c r="A34" s="242">
        <v>3.5</v>
      </c>
      <c r="B34" s="303" t="s">
        <v>208</v>
      </c>
      <c r="C34" s="299">
        <v>350585.38320209977</v>
      </c>
      <c r="D34" s="299">
        <v>352234.98950131232</v>
      </c>
      <c r="E34" s="299">
        <v>348935.7769028871</v>
      </c>
      <c r="F34" s="299" t="e">
        <f>+#REF!</f>
        <v>#REF!</v>
      </c>
      <c r="G34" s="299">
        <f t="shared" si="0"/>
        <v>348935.7769028871</v>
      </c>
      <c r="H34" s="299">
        <f>+G34</f>
        <v>348935.7769028871</v>
      </c>
    </row>
    <row r="35" spans="1:9">
      <c r="A35" s="242">
        <v>3.6</v>
      </c>
      <c r="B35" s="303" t="s">
        <v>202</v>
      </c>
      <c r="C35" s="300">
        <v>2.0333996949518429E-2</v>
      </c>
      <c r="D35" s="300">
        <v>1.2151239047970774E-2</v>
      </c>
      <c r="E35" s="300">
        <v>1.5533028428539097E-2</v>
      </c>
      <c r="F35" s="300" t="e">
        <f>+#REF!</f>
        <v>#REF!</v>
      </c>
      <c r="G35" s="300">
        <f t="shared" si="0"/>
        <v>1.5533028428539097E-2</v>
      </c>
      <c r="H35" s="300"/>
    </row>
    <row r="36" spans="1:9">
      <c r="A36" s="242">
        <v>3.7</v>
      </c>
      <c r="B36" s="303" t="s">
        <v>203</v>
      </c>
      <c r="C36" s="311">
        <v>1.6028763719999999</v>
      </c>
      <c r="D36" s="311">
        <v>1.610418372</v>
      </c>
      <c r="E36" s="311">
        <v>1.5953343719999999</v>
      </c>
      <c r="F36" s="311" t="e">
        <f>+#REF!</f>
        <v>#REF!</v>
      </c>
      <c r="G36" s="311">
        <f t="shared" si="0"/>
        <v>1.5953343719999999</v>
      </c>
      <c r="H36" s="311">
        <f>+G36</f>
        <v>1.5953343719999999</v>
      </c>
    </row>
    <row r="37" spans="1:9">
      <c r="A37" s="242">
        <v>3.8</v>
      </c>
      <c r="B37" s="303" t="s">
        <v>202</v>
      </c>
      <c r="C37" s="300">
        <v>-0.46746951666059378</v>
      </c>
      <c r="D37" s="300">
        <v>1.9083781781176201E-2</v>
      </c>
      <c r="E37" s="300">
        <v>-0.4699752276283925</v>
      </c>
      <c r="F37" s="300" t="e">
        <f>+#REF!</f>
        <v>#REF!</v>
      </c>
      <c r="G37" s="300">
        <f t="shared" si="0"/>
        <v>-0.4699752276283925</v>
      </c>
      <c r="H37" s="300"/>
    </row>
    <row r="38" spans="1:9">
      <c r="A38" s="297" t="s">
        <v>209</v>
      </c>
      <c r="C38" s="299"/>
      <c r="D38" s="299"/>
      <c r="E38" s="299"/>
      <c r="F38" s="299"/>
      <c r="G38" s="299"/>
      <c r="H38" s="299"/>
    </row>
    <row r="39" spans="1:9">
      <c r="A39" s="243">
        <v>4.0999999999999996</v>
      </c>
      <c r="B39" s="301" t="s">
        <v>51</v>
      </c>
      <c r="C39" s="299">
        <v>29650</v>
      </c>
      <c r="D39" s="299">
        <v>30700</v>
      </c>
      <c r="E39" s="299">
        <v>30500</v>
      </c>
      <c r="F39" s="299" t="e">
        <f>+#REF!</f>
        <v>#REF!</v>
      </c>
      <c r="G39" s="299">
        <f t="shared" si="0"/>
        <v>30500</v>
      </c>
      <c r="H39" s="299">
        <v>36000</v>
      </c>
    </row>
    <row r="40" spans="1:9">
      <c r="A40" s="243">
        <v>4.2</v>
      </c>
      <c r="B40" s="308" t="s">
        <v>52</v>
      </c>
      <c r="C40" s="299">
        <v>38000</v>
      </c>
      <c r="D40" s="299">
        <v>39000</v>
      </c>
      <c r="E40" s="299">
        <v>39000</v>
      </c>
      <c r="F40" s="299" t="e">
        <f>+#REF!</f>
        <v>#REF!</v>
      </c>
      <c r="G40" s="299">
        <f t="shared" si="0"/>
        <v>39000</v>
      </c>
      <c r="H40" s="299">
        <v>43200</v>
      </c>
    </row>
    <row r="41" spans="1:9">
      <c r="A41" s="301"/>
      <c r="B41" s="301" t="s">
        <v>33</v>
      </c>
      <c r="C41" s="299">
        <v>29650</v>
      </c>
      <c r="D41" s="299">
        <v>30700</v>
      </c>
      <c r="E41" s="299">
        <v>30500</v>
      </c>
      <c r="F41" s="299" t="e">
        <f>+#REF!</f>
        <v>#REF!</v>
      </c>
      <c r="G41" s="299">
        <f t="shared" si="0"/>
        <v>30500</v>
      </c>
      <c r="H41" s="299">
        <v>36000</v>
      </c>
    </row>
    <row r="42" spans="1:9">
      <c r="A42" s="301"/>
      <c r="B42" s="301" t="s">
        <v>34</v>
      </c>
      <c r="C42" s="299">
        <v>29650</v>
      </c>
      <c r="D42" s="299">
        <v>30700</v>
      </c>
      <c r="E42" s="299">
        <v>30500</v>
      </c>
      <c r="F42" s="299" t="e">
        <f>+#REF!</f>
        <v>#REF!</v>
      </c>
      <c r="G42" s="299">
        <f t="shared" si="0"/>
        <v>30500</v>
      </c>
      <c r="H42" s="299">
        <v>36000</v>
      </c>
    </row>
    <row r="43" spans="1:9">
      <c r="A43" s="242"/>
      <c r="B43" s="301" t="s">
        <v>35</v>
      </c>
      <c r="C43" s="299">
        <v>29650</v>
      </c>
      <c r="D43" s="299">
        <v>30700</v>
      </c>
      <c r="E43" s="299">
        <v>30500</v>
      </c>
      <c r="F43" s="299" t="e">
        <f>+#REF!</f>
        <v>#REF!</v>
      </c>
      <c r="G43" s="299">
        <f t="shared" si="0"/>
        <v>30500</v>
      </c>
      <c r="H43" s="299">
        <v>36000</v>
      </c>
    </row>
    <row r="44" spans="1:9" ht="34.5">
      <c r="A44" s="242">
        <v>4.3</v>
      </c>
      <c r="B44" s="308" t="s">
        <v>67</v>
      </c>
      <c r="C44" s="299">
        <v>29650</v>
      </c>
      <c r="D44" s="299">
        <v>30700</v>
      </c>
      <c r="E44" s="299">
        <v>30500</v>
      </c>
      <c r="F44" s="299" t="e">
        <f>+#REF!</f>
        <v>#REF!</v>
      </c>
      <c r="G44" s="299">
        <f t="shared" si="0"/>
        <v>30500</v>
      </c>
      <c r="H44" s="299">
        <v>36000</v>
      </c>
    </row>
    <row r="45" spans="1:9" ht="34.5">
      <c r="A45" s="242">
        <v>4.4000000000000004</v>
      </c>
      <c r="B45" s="308" t="s">
        <v>58</v>
      </c>
      <c r="C45" s="299">
        <v>95000</v>
      </c>
      <c r="D45" s="299">
        <v>100000</v>
      </c>
      <c r="E45" s="299">
        <v>90000</v>
      </c>
      <c r="F45" s="299" t="e">
        <f>+#REF!</f>
        <v>#REF!</v>
      </c>
      <c r="G45" s="299">
        <f t="shared" si="0"/>
        <v>90000</v>
      </c>
      <c r="H45" s="299">
        <v>108000</v>
      </c>
    </row>
    <row r="46" spans="1:9">
      <c r="A46" s="242">
        <v>4.5</v>
      </c>
      <c r="B46" s="303" t="s">
        <v>203</v>
      </c>
      <c r="C46" s="304">
        <v>15.882026400000001</v>
      </c>
      <c r="D46" s="304">
        <v>16.4280972</v>
      </c>
      <c r="E46" s="304">
        <v>16.325033999999999</v>
      </c>
      <c r="F46" s="304" t="e">
        <f>+#REF!</f>
        <v>#REF!</v>
      </c>
      <c r="G46" s="304">
        <f t="shared" si="0"/>
        <v>16.325033999999999</v>
      </c>
      <c r="H46" s="304">
        <f>37.9642464/2</f>
        <v>18.9821232</v>
      </c>
      <c r="I46" s="305"/>
    </row>
    <row r="47" spans="1:9">
      <c r="A47" s="242">
        <v>4.5999999999999996</v>
      </c>
      <c r="B47" s="303" t="s">
        <v>202</v>
      </c>
      <c r="C47" s="300">
        <v>-0.46226421587956712</v>
      </c>
      <c r="D47" s="300">
        <v>0.11244944529857803</v>
      </c>
      <c r="E47" s="300">
        <v>-0.44726480502621979</v>
      </c>
      <c r="F47" s="300" t="e">
        <f>+#REF!</f>
        <v>#REF!</v>
      </c>
      <c r="G47" s="300">
        <f t="shared" si="0"/>
        <v>-0.44726480502621979</v>
      </c>
      <c r="H47" s="300"/>
    </row>
    <row r="49" spans="1:8" ht="57.75" customHeight="1">
      <c r="A49" s="297" t="s">
        <v>18</v>
      </c>
      <c r="B49" s="242"/>
      <c r="C49" s="312" t="s">
        <v>196</v>
      </c>
      <c r="D49" s="313"/>
      <c r="E49" s="314" t="s">
        <v>210</v>
      </c>
      <c r="F49" s="315" t="s">
        <v>211</v>
      </c>
      <c r="G49" s="316" t="s">
        <v>198</v>
      </c>
      <c r="H49" s="315" t="s">
        <v>211</v>
      </c>
    </row>
    <row r="50" spans="1:8">
      <c r="A50" s="242" t="s">
        <v>212</v>
      </c>
      <c r="B50" s="242"/>
      <c r="C50" s="317">
        <f>+C15+C29+C36+C46</f>
        <v>164.52455155931958</v>
      </c>
      <c r="D50" s="318"/>
      <c r="E50" s="319">
        <f>+E15+E29+E36+E46</f>
        <v>165.11056005786551</v>
      </c>
      <c r="F50" s="320">
        <f>+E50-C50</f>
        <v>0.58600849854593662</v>
      </c>
      <c r="G50" s="319">
        <f>+G15+G29+G36+G46</f>
        <v>165.11056005786551</v>
      </c>
      <c r="H50" s="321">
        <f>+G50-C50</f>
        <v>0.58600849854593662</v>
      </c>
    </row>
    <row r="51" spans="1:8">
      <c r="A51" s="242" t="s">
        <v>213</v>
      </c>
      <c r="B51" s="242"/>
      <c r="C51" s="317">
        <f>+D15+D29+D36+D46</f>
        <v>174.46762451477596</v>
      </c>
      <c r="E51" s="319" t="e">
        <f>+F15+F29+F36+F46</f>
        <v>#REF!</v>
      </c>
      <c r="F51" s="320" t="e">
        <f>+E51-C51</f>
        <v>#REF!</v>
      </c>
      <c r="G51" s="319">
        <f>+H15+H29+H36+H46</f>
        <v>185.15243257408798</v>
      </c>
      <c r="H51" s="321">
        <f>+G51-C51</f>
        <v>10.684808059312019</v>
      </c>
    </row>
    <row r="52" spans="1:8">
      <c r="A52" s="623" t="s">
        <v>214</v>
      </c>
      <c r="B52" s="624"/>
      <c r="C52" s="322">
        <f>SUM(C50:C51)</f>
        <v>338.99217607409554</v>
      </c>
      <c r="D52" s="323"/>
      <c r="E52" s="324" t="e">
        <f>SUM(E50:E51)</f>
        <v>#REF!</v>
      </c>
      <c r="F52" s="325" t="e">
        <f t="shared" ref="F52:H52" si="1">SUM(F50:F51)</f>
        <v>#REF!</v>
      </c>
      <c r="G52" s="324">
        <f t="shared" si="1"/>
        <v>350.26299263195347</v>
      </c>
      <c r="H52" s="325">
        <f t="shared" si="1"/>
        <v>11.270816557857955</v>
      </c>
    </row>
    <row r="53" spans="1:8">
      <c r="A53" s="297" t="s">
        <v>57</v>
      </c>
      <c r="B53" s="301"/>
      <c r="C53" s="326"/>
      <c r="D53" s="327"/>
      <c r="E53" s="328"/>
      <c r="F53" s="329"/>
      <c r="G53" s="328"/>
      <c r="H53" s="329"/>
    </row>
    <row r="54" spans="1:8">
      <c r="A54" s="242" t="s">
        <v>212</v>
      </c>
      <c r="B54" s="242"/>
      <c r="C54" s="330">
        <f>+C15</f>
        <v>129.36516267217928</v>
      </c>
      <c r="D54" s="331"/>
      <c r="E54" s="332">
        <f>+E15</f>
        <v>129.35007935077047</v>
      </c>
      <c r="F54" s="320">
        <f>+E54-C54</f>
        <v>-1.5083321408809525E-2</v>
      </c>
      <c r="G54" s="332">
        <f>+G15</f>
        <v>129.35007935077047</v>
      </c>
      <c r="H54" s="321">
        <f t="shared" ref="H54:H55" si="2">+G54-C54</f>
        <v>-1.5083321408809525E-2</v>
      </c>
    </row>
    <row r="55" spans="1:8">
      <c r="A55" s="242" t="s">
        <v>213</v>
      </c>
      <c r="B55" s="242"/>
      <c r="C55" s="330">
        <f>+D15</f>
        <v>137.83125905568093</v>
      </c>
      <c r="D55" s="331"/>
      <c r="E55" s="332" t="e">
        <f>+F15</f>
        <v>#REF!</v>
      </c>
      <c r="F55" s="320" t="e">
        <f>+E55-C55</f>
        <v>#REF!</v>
      </c>
      <c r="G55" s="332">
        <f>+H15</f>
        <v>137.49648029508</v>
      </c>
      <c r="H55" s="321">
        <f t="shared" si="2"/>
        <v>-0.33477876060092626</v>
      </c>
    </row>
    <row r="56" spans="1:8">
      <c r="A56" s="623" t="s">
        <v>214</v>
      </c>
      <c r="B56" s="624"/>
      <c r="C56" s="333">
        <f t="shared" ref="C56" si="3">SUM(C54:C55)</f>
        <v>267.19642172786018</v>
      </c>
      <c r="D56" s="334"/>
      <c r="E56" s="335" t="e">
        <f>SUM(E54:E55)</f>
        <v>#REF!</v>
      </c>
      <c r="F56" s="336" t="e">
        <f t="shared" ref="F56:H68" si="4">SUM(F54:F55)</f>
        <v>#REF!</v>
      </c>
      <c r="G56" s="335">
        <f t="shared" si="4"/>
        <v>266.84655964585045</v>
      </c>
      <c r="H56" s="336">
        <f t="shared" si="4"/>
        <v>-0.34986208200973579</v>
      </c>
    </row>
    <row r="57" spans="1:8">
      <c r="A57" s="297" t="s">
        <v>204</v>
      </c>
      <c r="B57" s="301"/>
      <c r="C57" s="326"/>
      <c r="D57" s="327"/>
      <c r="E57" s="328"/>
      <c r="F57" s="329"/>
      <c r="G57" s="328"/>
      <c r="H57" s="329"/>
    </row>
    <row r="58" spans="1:8">
      <c r="A58" s="242" t="s">
        <v>212</v>
      </c>
      <c r="B58" s="242"/>
      <c r="C58" s="337">
        <f>+C29</f>
        <v>17.674486115140294</v>
      </c>
      <c r="D58" s="331"/>
      <c r="E58" s="332">
        <f>+E29</f>
        <v>17.840112335095046</v>
      </c>
      <c r="F58" s="320">
        <f>+E58-C58</f>
        <v>0.16562621995475268</v>
      </c>
      <c r="G58" s="338">
        <f>+G29</f>
        <v>17.840112335095046</v>
      </c>
      <c r="H58" s="321">
        <f t="shared" ref="H58:H59" si="5">+G58-C58</f>
        <v>0.16562621995475268</v>
      </c>
    </row>
    <row r="59" spans="1:8">
      <c r="A59" s="242" t="s">
        <v>213</v>
      </c>
      <c r="B59" s="242"/>
      <c r="C59" s="337">
        <f>+D29</f>
        <v>18.597849887095048</v>
      </c>
      <c r="D59" s="331"/>
      <c r="E59" s="332" t="e">
        <f>+F29</f>
        <v>#REF!</v>
      </c>
      <c r="F59" s="320" t="e">
        <f>+E59-C59</f>
        <v>#REF!</v>
      </c>
      <c r="G59" s="338">
        <f>+H29</f>
        <v>27.078494707008002</v>
      </c>
      <c r="H59" s="321">
        <f t="shared" si="5"/>
        <v>8.4806448199129534</v>
      </c>
    </row>
    <row r="60" spans="1:8">
      <c r="A60" s="623" t="s">
        <v>214</v>
      </c>
      <c r="B60" s="624"/>
      <c r="C60" s="333">
        <f>SUM(C58:C59)</f>
        <v>36.272336002235342</v>
      </c>
      <c r="D60" s="334"/>
      <c r="E60" s="335" t="e">
        <f>SUM(E58:E59)</f>
        <v>#REF!</v>
      </c>
      <c r="F60" s="336" t="e">
        <f t="shared" ref="F60" si="6">SUM(F58:F59)</f>
        <v>#REF!</v>
      </c>
      <c r="G60" s="335">
        <f>SUM(G58:G59)</f>
        <v>44.918607042103048</v>
      </c>
      <c r="H60" s="336">
        <f t="shared" si="4"/>
        <v>8.6462710398677061</v>
      </c>
    </row>
    <row r="61" spans="1:8">
      <c r="A61" s="297" t="s">
        <v>207</v>
      </c>
      <c r="B61" s="301"/>
      <c r="C61" s="326"/>
      <c r="D61" s="327"/>
      <c r="E61" s="328"/>
      <c r="F61" s="329"/>
      <c r="G61" s="328"/>
      <c r="H61" s="329"/>
    </row>
    <row r="62" spans="1:8">
      <c r="A62" s="242" t="s">
        <v>212</v>
      </c>
      <c r="B62" s="242"/>
      <c r="C62" s="337">
        <f>+C36</f>
        <v>1.6028763719999999</v>
      </c>
      <c r="D62" s="331"/>
      <c r="E62" s="332">
        <f>+E36</f>
        <v>1.5953343719999999</v>
      </c>
      <c r="F62" s="320">
        <f>+E62-C62</f>
        <v>-7.5419999999999376E-3</v>
      </c>
      <c r="G62" s="338">
        <f>+G36</f>
        <v>1.5953343719999999</v>
      </c>
      <c r="H62" s="321">
        <f t="shared" ref="H62:H63" si="7">+G62-C62</f>
        <v>-7.5419999999999376E-3</v>
      </c>
    </row>
    <row r="63" spans="1:8">
      <c r="A63" s="242" t="s">
        <v>213</v>
      </c>
      <c r="B63" s="242"/>
      <c r="C63" s="337">
        <f>+D36</f>
        <v>1.610418372</v>
      </c>
      <c r="D63" s="331"/>
      <c r="E63" s="332" t="e">
        <f>+F36</f>
        <v>#REF!</v>
      </c>
      <c r="F63" s="320" t="e">
        <f>+E63-C63</f>
        <v>#REF!</v>
      </c>
      <c r="G63" s="338">
        <f>+H36</f>
        <v>1.5953343719999999</v>
      </c>
      <c r="H63" s="321">
        <f t="shared" si="7"/>
        <v>-1.5084000000000097E-2</v>
      </c>
    </row>
    <row r="64" spans="1:8">
      <c r="A64" s="623" t="s">
        <v>214</v>
      </c>
      <c r="B64" s="624"/>
      <c r="C64" s="333">
        <f>SUM(C62:C63)</f>
        <v>3.2132947439999997</v>
      </c>
      <c r="D64" s="334"/>
      <c r="E64" s="335" t="e">
        <f>SUM(E62:E63)</f>
        <v>#REF!</v>
      </c>
      <c r="F64" s="336" t="e">
        <f t="shared" ref="F64" si="8">SUM(F62:F63)</f>
        <v>#REF!</v>
      </c>
      <c r="G64" s="335">
        <f>SUM(G62:G63)</f>
        <v>3.1906687439999999</v>
      </c>
      <c r="H64" s="336">
        <f t="shared" si="4"/>
        <v>-2.2626000000000035E-2</v>
      </c>
    </row>
    <row r="65" spans="1:8">
      <c r="A65" s="297" t="s">
        <v>209</v>
      </c>
      <c r="B65" s="301"/>
      <c r="C65" s="326"/>
      <c r="D65" s="327"/>
      <c r="E65" s="328"/>
      <c r="F65" s="329"/>
      <c r="G65" s="328"/>
      <c r="H65" s="329"/>
    </row>
    <row r="66" spans="1:8">
      <c r="A66" s="242" t="s">
        <v>212</v>
      </c>
      <c r="B66" s="242"/>
      <c r="C66" s="337">
        <f>+C46</f>
        <v>15.882026400000001</v>
      </c>
      <c r="D66" s="331"/>
      <c r="E66" s="332">
        <f>+E46</f>
        <v>16.325033999999999</v>
      </c>
      <c r="F66" s="320">
        <f>+E66-C66</f>
        <v>0.44300759999999784</v>
      </c>
      <c r="G66" s="338">
        <f>+G46</f>
        <v>16.325033999999999</v>
      </c>
      <c r="H66" s="321">
        <f t="shared" ref="H66:H67" si="9">+G66-C66</f>
        <v>0.44300759999999784</v>
      </c>
    </row>
    <row r="67" spans="1:8">
      <c r="A67" s="242" t="s">
        <v>213</v>
      </c>
      <c r="B67" s="242"/>
      <c r="C67" s="337">
        <f>+D46</f>
        <v>16.4280972</v>
      </c>
      <c r="D67" s="331"/>
      <c r="E67" s="332" t="e">
        <f>+F46</f>
        <v>#REF!</v>
      </c>
      <c r="F67" s="320" t="e">
        <f>+E67-C67</f>
        <v>#REF!</v>
      </c>
      <c r="G67" s="338">
        <f>+H46</f>
        <v>18.9821232</v>
      </c>
      <c r="H67" s="321">
        <f t="shared" si="9"/>
        <v>2.5540260000000004</v>
      </c>
    </row>
    <row r="68" spans="1:8">
      <c r="A68" s="623" t="s">
        <v>214</v>
      </c>
      <c r="B68" s="624"/>
      <c r="C68" s="339">
        <f>SUM(C66:C67)</f>
        <v>32.310123599999997</v>
      </c>
      <c r="D68" s="334"/>
      <c r="E68" s="340" t="e">
        <f>SUM(E66:E67)</f>
        <v>#REF!</v>
      </c>
      <c r="F68" s="341" t="e">
        <f t="shared" ref="F68" si="10">SUM(F66:F67)</f>
        <v>#REF!</v>
      </c>
      <c r="G68" s="340">
        <f>SUM(G66:G67)</f>
        <v>35.307157199999999</v>
      </c>
      <c r="H68" s="336">
        <f t="shared" si="4"/>
        <v>2.9970335999999982</v>
      </c>
    </row>
    <row r="69" spans="1:8">
      <c r="C69" s="342"/>
      <c r="D69" s="343"/>
      <c r="E69" s="342"/>
      <c r="F69" s="343"/>
      <c r="G69" s="343"/>
      <c r="H69" s="342"/>
    </row>
    <row r="70" spans="1:8">
      <c r="C70" s="342"/>
      <c r="D70" s="343"/>
      <c r="E70" s="342"/>
      <c r="F70" s="343"/>
      <c r="G70" s="343"/>
      <c r="H70" s="342"/>
    </row>
    <row r="71" spans="1:8">
      <c r="C71" s="342"/>
      <c r="D71" s="343"/>
      <c r="E71" s="342"/>
      <c r="F71" s="343"/>
      <c r="G71" s="343"/>
      <c r="H71" s="342"/>
    </row>
    <row r="72" spans="1:8">
      <c r="C72" s="194"/>
      <c r="D72" s="194"/>
      <c r="E72" s="194"/>
      <c r="F72" s="194"/>
      <c r="G72" s="194"/>
      <c r="H72" s="194"/>
    </row>
    <row r="73" spans="1:8">
      <c r="C73" s="194"/>
      <c r="D73" s="194"/>
      <c r="E73" s="194"/>
      <c r="F73" s="194"/>
      <c r="G73" s="194"/>
      <c r="H73" s="194"/>
    </row>
    <row r="74" spans="1:8">
      <c r="C74" s="194"/>
      <c r="D74" s="194"/>
      <c r="E74" s="194"/>
      <c r="F74" s="194"/>
      <c r="G74" s="194"/>
      <c r="H74" s="194"/>
    </row>
    <row r="75" spans="1:8">
      <c r="C75" s="194"/>
      <c r="D75" s="194"/>
      <c r="E75" s="194"/>
      <c r="F75" s="194"/>
      <c r="G75" s="194"/>
      <c r="H75" s="194"/>
    </row>
    <row r="76" spans="1:8">
      <c r="C76" s="194"/>
      <c r="D76" s="194"/>
      <c r="E76" s="194"/>
      <c r="F76" s="194"/>
      <c r="G76" s="194"/>
      <c r="H76" s="194"/>
    </row>
    <row r="77" spans="1:8">
      <c r="C77" s="194"/>
      <c r="D77" s="194"/>
      <c r="E77" s="194"/>
      <c r="F77" s="194"/>
      <c r="G77" s="194"/>
      <c r="H77" s="194"/>
    </row>
    <row r="78" spans="1:8">
      <c r="C78" s="194"/>
      <c r="D78" s="194"/>
      <c r="E78" s="194"/>
      <c r="F78" s="194"/>
      <c r="G78" s="194"/>
      <c r="H78" s="194"/>
    </row>
    <row r="79" spans="1:8">
      <c r="C79" s="194"/>
      <c r="D79" s="194"/>
      <c r="E79" s="194"/>
      <c r="F79" s="194"/>
      <c r="G79" s="194"/>
      <c r="H79" s="194"/>
    </row>
    <row r="80" spans="1:8">
      <c r="C80" s="194"/>
      <c r="D80" s="194"/>
      <c r="E80" s="194"/>
      <c r="F80" s="194"/>
      <c r="G80" s="194"/>
      <c r="H80" s="194"/>
    </row>
    <row r="81" spans="3:8">
      <c r="C81" s="194"/>
      <c r="D81" s="194"/>
      <c r="E81" s="194"/>
      <c r="F81" s="194"/>
      <c r="G81" s="194"/>
      <c r="H81" s="194"/>
    </row>
    <row r="82" spans="3:8">
      <c r="C82" s="194"/>
      <c r="D82" s="194"/>
      <c r="E82" s="194"/>
      <c r="F82" s="194"/>
      <c r="G82" s="194"/>
      <c r="H82" s="194"/>
    </row>
    <row r="83" spans="3:8">
      <c r="C83" s="194"/>
      <c r="D83" s="194"/>
      <c r="E83" s="194"/>
      <c r="F83" s="194"/>
      <c r="G83" s="194"/>
      <c r="H83" s="194"/>
    </row>
    <row r="84" spans="3:8">
      <c r="C84" s="194"/>
      <c r="D84" s="194"/>
      <c r="E84" s="194"/>
      <c r="F84" s="194"/>
      <c r="G84" s="194"/>
      <c r="H84" s="194"/>
    </row>
    <row r="85" spans="3:8">
      <c r="C85" s="194"/>
      <c r="D85" s="194"/>
      <c r="E85" s="194"/>
      <c r="F85" s="194"/>
      <c r="G85" s="194"/>
      <c r="H85" s="194"/>
    </row>
    <row r="86" spans="3:8">
      <c r="C86" s="194"/>
      <c r="D86" s="194"/>
      <c r="E86" s="194"/>
      <c r="F86" s="194"/>
      <c r="G86" s="194"/>
      <c r="H86" s="194"/>
    </row>
    <row r="87" spans="3:8">
      <c r="C87" s="194"/>
      <c r="D87" s="194"/>
      <c r="E87" s="194"/>
      <c r="F87" s="194"/>
      <c r="G87" s="194"/>
      <c r="H87" s="194"/>
    </row>
    <row r="88" spans="3:8">
      <c r="C88" s="194"/>
      <c r="D88" s="194"/>
      <c r="E88" s="194"/>
      <c r="F88" s="194"/>
      <c r="G88" s="194"/>
      <c r="H88" s="194"/>
    </row>
    <row r="89" spans="3:8">
      <c r="C89" s="194"/>
      <c r="D89" s="194"/>
      <c r="E89" s="194"/>
      <c r="F89" s="194"/>
      <c r="G89" s="194"/>
      <c r="H89" s="194"/>
    </row>
  </sheetData>
  <mergeCells count="8">
    <mergeCell ref="A64:B64"/>
    <mergeCell ref="A68:B68"/>
    <mergeCell ref="C1:D1"/>
    <mergeCell ref="E1:F1"/>
    <mergeCell ref="G1:H1"/>
    <mergeCell ref="A52:B52"/>
    <mergeCell ref="A56:B56"/>
    <mergeCell ref="A60:B60"/>
  </mergeCell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54"/>
  <sheetViews>
    <sheetView topLeftCell="A31" workbookViewId="0">
      <selection activeCell="F54" sqref="F54"/>
    </sheetView>
  </sheetViews>
  <sheetFormatPr defaultColWidth="9.140625" defaultRowHeight="17.25"/>
  <cols>
    <col min="1" max="1" width="5.85546875" style="28" customWidth="1"/>
    <col min="2" max="2" width="46.7109375" style="28" customWidth="1"/>
    <col min="3" max="3" width="12.5703125" style="28" customWidth="1"/>
    <col min="4" max="4" width="10.42578125" style="28" customWidth="1"/>
    <col min="5" max="5" width="10" style="28" bestFit="1" customWidth="1"/>
    <col min="6" max="11" width="13.85546875" style="28" customWidth="1"/>
    <col min="12" max="16384" width="9.140625" style="28"/>
  </cols>
  <sheetData>
    <row r="2" spans="1:11">
      <c r="A2" s="625" t="s">
        <v>56</v>
      </c>
      <c r="B2" s="625"/>
      <c r="C2" s="625" t="s">
        <v>196</v>
      </c>
      <c r="D2" s="625"/>
      <c r="E2" s="625" t="s">
        <v>263</v>
      </c>
      <c r="F2" s="625"/>
      <c r="G2" s="625"/>
      <c r="H2" s="625"/>
      <c r="I2" s="625"/>
      <c r="J2" s="625"/>
      <c r="K2" s="625"/>
    </row>
    <row r="3" spans="1:11" ht="34.5">
      <c r="A3" s="438"/>
      <c r="B3" s="438"/>
      <c r="C3" s="439" t="s">
        <v>217</v>
      </c>
      <c r="D3" s="439" t="s">
        <v>218</v>
      </c>
      <c r="E3" s="439" t="s">
        <v>217</v>
      </c>
      <c r="F3" s="439" t="s">
        <v>218</v>
      </c>
      <c r="G3" s="439" t="s">
        <v>219</v>
      </c>
      <c r="H3" s="439" t="s">
        <v>220</v>
      </c>
      <c r="I3" s="439" t="s">
        <v>221</v>
      </c>
      <c r="J3" s="439" t="s">
        <v>222</v>
      </c>
      <c r="K3" s="439">
        <v>2026</v>
      </c>
    </row>
    <row r="4" spans="1:11">
      <c r="A4" s="442" t="s">
        <v>57</v>
      </c>
      <c r="B4" s="443"/>
      <c r="C4" s="444"/>
      <c r="D4" s="444"/>
      <c r="E4" s="444"/>
      <c r="F4" s="444"/>
      <c r="G4" s="444"/>
      <c r="H4" s="444"/>
      <c r="I4" s="444"/>
      <c r="J4" s="444"/>
      <c r="K4" s="445"/>
    </row>
    <row r="5" spans="1:11">
      <c r="A5" s="440">
        <v>1.1000000000000001</v>
      </c>
      <c r="B5" s="440" t="s">
        <v>22</v>
      </c>
      <c r="C5" s="441">
        <f>+E5</f>
        <v>21000</v>
      </c>
      <c r="D5" s="441">
        <f>+F5</f>
        <v>36000</v>
      </c>
      <c r="E5" s="441">
        <f>+ընդհանուր!E10</f>
        <v>21000</v>
      </c>
      <c r="F5" s="441">
        <f>+ընդհանուր!F10</f>
        <v>36000</v>
      </c>
      <c r="G5" s="441">
        <f>+ընդհանուր!G10</f>
        <v>36000</v>
      </c>
      <c r="H5" s="441">
        <f>+ընդհանուր!H10</f>
        <v>37000</v>
      </c>
      <c r="I5" s="441">
        <f>+ընդհանուր!I10</f>
        <v>37000</v>
      </c>
      <c r="J5" s="441">
        <f>+ընդհանուր!J10</f>
        <v>38000</v>
      </c>
      <c r="K5" s="441">
        <f>+ընդհանուր!K10</f>
        <v>39500</v>
      </c>
    </row>
    <row r="6" spans="1:11">
      <c r="A6" s="58">
        <v>1.2</v>
      </c>
      <c r="B6" s="58" t="s">
        <v>23</v>
      </c>
      <c r="C6" s="441">
        <f>+E6</f>
        <v>31600</v>
      </c>
      <c r="D6" s="441">
        <f>+F6</f>
        <v>0</v>
      </c>
      <c r="E6" s="419">
        <f>+ընդհանուր!E11</f>
        <v>31600</v>
      </c>
      <c r="F6" s="419">
        <f>+ընդհանուր!F11</f>
        <v>0</v>
      </c>
      <c r="G6" s="419">
        <f>+ընդհանուր!G11</f>
        <v>0</v>
      </c>
      <c r="H6" s="419">
        <f>+ընդհանուր!H11</f>
        <v>0</v>
      </c>
      <c r="I6" s="419">
        <f>+ընդհանուր!I11</f>
        <v>0</v>
      </c>
      <c r="J6" s="419">
        <f>+ընդհանուր!J11</f>
        <v>0</v>
      </c>
      <c r="K6" s="419">
        <f>+ընդհանուր!K11</f>
        <v>0</v>
      </c>
    </row>
    <row r="7" spans="1:11" ht="34.5">
      <c r="A7" s="58">
        <v>1.3</v>
      </c>
      <c r="B7" s="241" t="s">
        <v>62</v>
      </c>
      <c r="C7" s="419">
        <f>+E7</f>
        <v>950</v>
      </c>
      <c r="D7" s="58"/>
      <c r="E7" s="432">
        <f>+ընդհանուր!E16</f>
        <v>950</v>
      </c>
      <c r="F7" s="432">
        <f>+ընդհանուր!F16</f>
        <v>0</v>
      </c>
      <c r="G7" s="432">
        <f>+ընդհանուր!G16</f>
        <v>0</v>
      </c>
      <c r="H7" s="432">
        <f>+ընդհանուր!H16</f>
        <v>0</v>
      </c>
      <c r="I7" s="432">
        <f>+ընդհանուր!I16</f>
        <v>0</v>
      </c>
      <c r="J7" s="432">
        <f>+ընդհանուր!J16</f>
        <v>0</v>
      </c>
      <c r="K7" s="432">
        <f>+ընդհանուր!K16</f>
        <v>0</v>
      </c>
    </row>
    <row r="8" spans="1:11" ht="34.5">
      <c r="A8" s="430">
        <v>1.4</v>
      </c>
      <c r="B8" s="431" t="s">
        <v>63</v>
      </c>
      <c r="C8" s="419">
        <f>+E8</f>
        <v>500</v>
      </c>
      <c r="D8" s="430">
        <v>525</v>
      </c>
      <c r="E8" s="432">
        <f>+ընդհանուր!E17</f>
        <v>500</v>
      </c>
      <c r="F8" s="432">
        <f>+ընդհանուր!F17</f>
        <v>525</v>
      </c>
      <c r="G8" s="432">
        <f>+ընդհանուր!G17</f>
        <v>500</v>
      </c>
      <c r="H8" s="432">
        <f>+ընդհանուր!H17</f>
        <v>550</v>
      </c>
      <c r="I8" s="432">
        <f>+ընդհանուր!I17</f>
        <v>625</v>
      </c>
      <c r="J8" s="432">
        <f>+ընդհանուր!J17</f>
        <v>800</v>
      </c>
      <c r="K8" s="432">
        <f>+ընդհանուր!K17</f>
        <v>1900</v>
      </c>
    </row>
    <row r="9" spans="1:11">
      <c r="A9" s="435" t="s">
        <v>204</v>
      </c>
      <c r="B9" s="436"/>
      <c r="C9" s="436"/>
      <c r="D9" s="436"/>
      <c r="E9" s="436"/>
      <c r="F9" s="436"/>
      <c r="G9" s="436"/>
      <c r="H9" s="436"/>
      <c r="I9" s="436"/>
      <c r="J9" s="436"/>
      <c r="K9" s="437"/>
    </row>
    <row r="10" spans="1:11">
      <c r="A10" s="433">
        <v>2.1</v>
      </c>
      <c r="B10" s="433" t="s">
        <v>22</v>
      </c>
      <c r="C10" s="434">
        <f>+E10</f>
        <v>20000</v>
      </c>
      <c r="D10" s="434">
        <v>20000</v>
      </c>
      <c r="E10" s="434">
        <f>+ընդհանուր!E45</f>
        <v>20000</v>
      </c>
      <c r="F10" s="434">
        <f>+ընդհանուր!F45</f>
        <v>20000</v>
      </c>
      <c r="G10" s="434">
        <f>+ընդհանուր!G45</f>
        <v>20000</v>
      </c>
      <c r="H10" s="434">
        <f>+ընդհանուր!H45</f>
        <v>21000</v>
      </c>
      <c r="I10" s="434">
        <f>+ընդհանուր!I45</f>
        <v>21000</v>
      </c>
      <c r="J10" s="434">
        <f>+ընդհանուր!J45</f>
        <v>22000</v>
      </c>
      <c r="K10" s="434">
        <f>+ընդհանուր!K45</f>
        <v>25000</v>
      </c>
    </row>
    <row r="11" spans="1:11" ht="34.5">
      <c r="A11" s="270">
        <v>2.2000000000000002</v>
      </c>
      <c r="B11" s="273" t="s">
        <v>59</v>
      </c>
      <c r="C11" s="270">
        <v>1600</v>
      </c>
      <c r="D11" s="270">
        <v>1750</v>
      </c>
      <c r="E11" s="420">
        <f>+ընդհանուր!E46</f>
        <v>1600</v>
      </c>
      <c r="F11" s="420">
        <f>+ընդհանուր!F46</f>
        <v>1750</v>
      </c>
      <c r="G11" s="420">
        <f>+ընդհանուր!G46</f>
        <v>1750</v>
      </c>
      <c r="H11" s="420">
        <f>+ընդհանուր!H46</f>
        <v>1800</v>
      </c>
      <c r="I11" s="420">
        <f>+ընդհանուր!I46</f>
        <v>1900</v>
      </c>
      <c r="J11" s="420">
        <f>+ընդհանուր!J46</f>
        <v>2100</v>
      </c>
      <c r="K11" s="420">
        <f>+ընդհանուր!K46</f>
        <v>2700</v>
      </c>
    </row>
    <row r="12" spans="1:11" ht="86.25">
      <c r="A12" s="270">
        <v>2.2999999999999998</v>
      </c>
      <c r="B12" s="274" t="s">
        <v>66</v>
      </c>
      <c r="C12" s="270"/>
      <c r="D12" s="270"/>
      <c r="E12" s="420"/>
      <c r="F12" s="420"/>
      <c r="G12" s="420"/>
      <c r="H12" s="420"/>
      <c r="I12" s="420"/>
      <c r="J12" s="420"/>
      <c r="K12" s="420"/>
    </row>
    <row r="13" spans="1:11">
      <c r="A13" s="270"/>
      <c r="B13" s="275" t="s">
        <v>33</v>
      </c>
      <c r="C13" s="446">
        <v>46000</v>
      </c>
      <c r="D13" s="446">
        <v>50600</v>
      </c>
      <c r="E13" s="420">
        <f>+ընդհանուր!E48</f>
        <v>46000</v>
      </c>
      <c r="F13" s="420">
        <f>+ընդհանուր!F48</f>
        <v>50600</v>
      </c>
      <c r="G13" s="420">
        <f>+ընդհանուր!G48</f>
        <v>50600</v>
      </c>
      <c r="H13" s="420">
        <f>+ընդհանուր!H48</f>
        <v>53600</v>
      </c>
      <c r="I13" s="420">
        <f>+ընդհանուր!I48</f>
        <v>56800</v>
      </c>
      <c r="J13" s="420">
        <f>+ընդհանուր!J48</f>
        <v>60200</v>
      </c>
      <c r="K13" s="420">
        <f>+ընդհանուր!K48</f>
        <v>63800</v>
      </c>
    </row>
    <row r="14" spans="1:11">
      <c r="A14" s="270"/>
      <c r="B14" s="275" t="s">
        <v>34</v>
      </c>
      <c r="C14" s="446">
        <v>36000</v>
      </c>
      <c r="D14" s="446">
        <v>41400</v>
      </c>
      <c r="E14" s="420">
        <f>+ընդհանուր!E49</f>
        <v>36000</v>
      </c>
      <c r="F14" s="420">
        <f>+ընդհանուր!F49</f>
        <v>41400</v>
      </c>
      <c r="G14" s="420">
        <f>+ընդհանուր!G49</f>
        <v>41400</v>
      </c>
      <c r="H14" s="420">
        <f>+ընդհանուր!H49</f>
        <v>43900</v>
      </c>
      <c r="I14" s="420">
        <f>+ընդհանուր!I49</f>
        <v>46500</v>
      </c>
      <c r="J14" s="420">
        <f>+ընդհանուր!J49</f>
        <v>49300</v>
      </c>
      <c r="K14" s="420">
        <f>+ընդհանուր!K49</f>
        <v>52300</v>
      </c>
    </row>
    <row r="15" spans="1:11">
      <c r="A15" s="270"/>
      <c r="B15" s="425" t="s">
        <v>35</v>
      </c>
      <c r="C15" s="447">
        <v>33000</v>
      </c>
      <c r="D15" s="447">
        <v>38000</v>
      </c>
      <c r="E15" s="426">
        <f>+ընդհանուր!E50</f>
        <v>33000</v>
      </c>
      <c r="F15" s="426">
        <f>+ընդհանուր!F50</f>
        <v>38000</v>
      </c>
      <c r="G15" s="426">
        <f>+ընդհանուր!G50</f>
        <v>38000</v>
      </c>
      <c r="H15" s="426">
        <f>+ընդհանուր!H50</f>
        <v>40300</v>
      </c>
      <c r="I15" s="426">
        <f>+ընդհանուր!I50</f>
        <v>42700</v>
      </c>
      <c r="J15" s="426">
        <f>+ընդհանուր!J50</f>
        <v>45300</v>
      </c>
      <c r="K15" s="426">
        <f>+ընդհանուր!K50</f>
        <v>48000</v>
      </c>
    </row>
    <row r="16" spans="1:11">
      <c r="A16" s="424" t="s">
        <v>264</v>
      </c>
      <c r="B16" s="423"/>
      <c r="C16" s="429"/>
      <c r="D16" s="429"/>
      <c r="E16" s="429"/>
      <c r="F16" s="429"/>
      <c r="G16" s="429"/>
      <c r="H16" s="429"/>
      <c r="I16" s="429"/>
      <c r="J16" s="429"/>
      <c r="K16" s="248"/>
    </row>
    <row r="17" spans="1:11">
      <c r="A17" s="248">
        <v>3.1</v>
      </c>
      <c r="B17" s="427" t="s">
        <v>51</v>
      </c>
      <c r="C17" s="448">
        <v>31600</v>
      </c>
      <c r="D17" s="448">
        <v>36000</v>
      </c>
      <c r="E17" s="428">
        <f>+ընդհանուր!E67</f>
        <v>31600</v>
      </c>
      <c r="F17" s="428">
        <f>+ընդհանուր!F67</f>
        <v>36000</v>
      </c>
      <c r="G17" s="428">
        <f>+ընդհանուր!G67</f>
        <v>36000</v>
      </c>
      <c r="H17" s="428">
        <f>+ընդհանուր!H67</f>
        <v>37000</v>
      </c>
      <c r="I17" s="428">
        <f>+ընդհանուր!I67</f>
        <v>37000</v>
      </c>
      <c r="J17" s="428">
        <f>+ընդհանուր!J67</f>
        <v>38000</v>
      </c>
      <c r="K17" s="428">
        <f>+ընդհանուր!K67</f>
        <v>39500</v>
      </c>
    </row>
    <row r="18" spans="1:11">
      <c r="A18" s="248">
        <v>3.2</v>
      </c>
      <c r="B18" s="421" t="s">
        <v>52</v>
      </c>
      <c r="C18" s="449">
        <v>39000</v>
      </c>
      <c r="D18" s="449">
        <v>41000</v>
      </c>
      <c r="E18" s="422">
        <f>+ընդհանուր!E68</f>
        <v>39000</v>
      </c>
      <c r="F18" s="422">
        <f>+ընդհանուր!F68</f>
        <v>41000</v>
      </c>
      <c r="G18" s="422">
        <f>+ընդհանուր!G68</f>
        <v>41000</v>
      </c>
      <c r="H18" s="422">
        <f>+ընդհանուր!H68</f>
        <v>42000</v>
      </c>
      <c r="I18" s="422">
        <f>+ընդհանուր!I68</f>
        <v>42000</v>
      </c>
      <c r="J18" s="422">
        <f>+ընդհանուր!J68</f>
        <v>43000</v>
      </c>
      <c r="K18" s="422">
        <f>+ընդհանուր!K68</f>
        <v>43500</v>
      </c>
    </row>
    <row r="19" spans="1:11">
      <c r="A19" s="137"/>
      <c r="B19" s="421" t="s">
        <v>33</v>
      </c>
      <c r="C19" s="449">
        <v>31600</v>
      </c>
      <c r="D19" s="449">
        <v>39600</v>
      </c>
      <c r="E19" s="422">
        <f>+ընդհանուր!E69</f>
        <v>31600</v>
      </c>
      <c r="F19" s="422">
        <f>+ընդհանուր!F69</f>
        <v>39600</v>
      </c>
      <c r="G19" s="422">
        <f>+ընդհանուր!G69</f>
        <v>39600</v>
      </c>
      <c r="H19" s="422">
        <f>+ընդհանուր!H69</f>
        <v>40600</v>
      </c>
      <c r="I19" s="422">
        <f>+ընդհանուր!I69</f>
        <v>40600</v>
      </c>
      <c r="J19" s="422">
        <f>+ընդհանուր!J69</f>
        <v>41600</v>
      </c>
      <c r="K19" s="422">
        <f>+ընդհանուր!K69</f>
        <v>43500</v>
      </c>
    </row>
    <row r="20" spans="1:11">
      <c r="A20" s="137"/>
      <c r="B20" s="421" t="s">
        <v>34</v>
      </c>
      <c r="C20" s="449">
        <v>31600</v>
      </c>
      <c r="D20" s="449">
        <v>37800</v>
      </c>
      <c r="E20" s="422">
        <f>+ընդհանուր!E70</f>
        <v>31600</v>
      </c>
      <c r="F20" s="422">
        <f>+ընդհանուր!F70</f>
        <v>37800</v>
      </c>
      <c r="G20" s="422">
        <f>+ընդհանուր!G70</f>
        <v>37800</v>
      </c>
      <c r="H20" s="422">
        <f>+ընդհանուր!H70</f>
        <v>38800</v>
      </c>
      <c r="I20" s="422">
        <f>+ընդհանուր!I70</f>
        <v>38800</v>
      </c>
      <c r="J20" s="422">
        <f>+ընդհանուր!J70</f>
        <v>39800</v>
      </c>
      <c r="K20" s="422">
        <f>+ընդհանուր!K70</f>
        <v>41500</v>
      </c>
    </row>
    <row r="21" spans="1:11">
      <c r="A21" s="60"/>
      <c r="B21" s="421" t="s">
        <v>35</v>
      </c>
      <c r="C21" s="449">
        <v>31600</v>
      </c>
      <c r="D21" s="449">
        <v>36000</v>
      </c>
      <c r="E21" s="422">
        <f>+ընդհանուր!E71</f>
        <v>31600</v>
      </c>
      <c r="F21" s="422">
        <f>+ընդհանուր!F71</f>
        <v>36000</v>
      </c>
      <c r="G21" s="422">
        <f>+ընդհանուր!G71</f>
        <v>36000</v>
      </c>
      <c r="H21" s="422">
        <f>+ընդհանուր!H71</f>
        <v>37000</v>
      </c>
      <c r="I21" s="422">
        <f>+ընդհանուր!I71</f>
        <v>37000</v>
      </c>
      <c r="J21" s="422">
        <f>+ընդհանուր!J71</f>
        <v>38000</v>
      </c>
      <c r="K21" s="422">
        <f>+ընդհանուր!K71</f>
        <v>39500</v>
      </c>
    </row>
    <row r="23" spans="1:11">
      <c r="A23" s="42"/>
      <c r="B23" s="42"/>
      <c r="C23" s="222" t="s">
        <v>188</v>
      </c>
      <c r="D23" s="236">
        <v>2023</v>
      </c>
      <c r="E23" s="236">
        <v>2024</v>
      </c>
      <c r="F23" s="236">
        <v>2025</v>
      </c>
      <c r="G23" s="236">
        <v>2026</v>
      </c>
    </row>
    <row r="24" spans="1:11">
      <c r="A24" s="297" t="s">
        <v>235</v>
      </c>
      <c r="B24" s="42"/>
      <c r="C24" s="450">
        <f>SUM(C25:C29)</f>
        <v>341.61300000000006</v>
      </c>
      <c r="D24" s="450">
        <f t="shared" ref="D24:G24" si="0">SUM(D25:D29)</f>
        <v>348.30463788315365</v>
      </c>
      <c r="E24" s="450">
        <f t="shared" si="0"/>
        <v>368.44189335801241</v>
      </c>
      <c r="F24" s="450">
        <f t="shared" si="0"/>
        <v>3864.2404694805</v>
      </c>
      <c r="G24" s="450">
        <f t="shared" si="0"/>
        <v>603.43728820800015</v>
      </c>
    </row>
    <row r="25" spans="1:11">
      <c r="A25" s="42">
        <v>1</v>
      </c>
      <c r="B25" s="242" t="s">
        <v>226</v>
      </c>
      <c r="C25" s="450">
        <v>267.19600000000003</v>
      </c>
      <c r="D25" s="450">
        <f>+ընդհանուր!F90</f>
        <v>269.13303597660365</v>
      </c>
      <c r="E25" s="450">
        <f>+ընդհանուր!G90</f>
        <v>283.78885183479838</v>
      </c>
      <c r="F25" s="450">
        <f>+ընդհանուր!H90</f>
        <v>313.30776919050004</v>
      </c>
      <c r="G25" s="450">
        <f>+ընդհանուր!I90</f>
        <v>501.35542567200008</v>
      </c>
    </row>
    <row r="26" spans="1:11">
      <c r="A26" s="42">
        <v>2</v>
      </c>
      <c r="B26" s="242" t="s">
        <v>227</v>
      </c>
      <c r="C26" s="450">
        <v>36.271999999999998</v>
      </c>
      <c r="D26" s="450">
        <f>+ընդհանուր!F91</f>
        <v>38.221847666550005</v>
      </c>
      <c r="E26" s="450">
        <f>+ընդհանուր!G91</f>
        <v>40.453307483214004</v>
      </c>
      <c r="F26" s="450">
        <f>+ընդհանուր!H91</f>
        <v>44.529546090000004</v>
      </c>
      <c r="G26" s="450">
        <f>+ընդհանուր!I91</f>
        <v>54.494261484000006</v>
      </c>
    </row>
    <row r="27" spans="1:11" ht="51.75">
      <c r="A27" s="42">
        <v>3</v>
      </c>
      <c r="B27" s="302" t="s">
        <v>215</v>
      </c>
      <c r="C27" s="450">
        <v>0.622</v>
      </c>
      <c r="D27" s="450">
        <f>+ընդհանուր!F92</f>
        <v>0.66666000000000003</v>
      </c>
      <c r="E27" s="450">
        <f>+ընդհանուր!G92</f>
        <v>0.70316999999999996</v>
      </c>
      <c r="F27" s="450">
        <f>+ընդհանուր!H92</f>
        <v>0.72642600000000002</v>
      </c>
      <c r="G27" s="450">
        <f>+ընդհանուր!I92</f>
        <v>0.72372599999999998</v>
      </c>
    </row>
    <row r="28" spans="1:11">
      <c r="A28" s="42">
        <v>4</v>
      </c>
      <c r="B28" s="242" t="s">
        <v>228</v>
      </c>
      <c r="C28" s="450">
        <v>3.2130000000000001</v>
      </c>
      <c r="D28" s="450">
        <f>+ընդհանուր!F93</f>
        <v>3.2773658399999999</v>
      </c>
      <c r="E28" s="450">
        <f>+ընդհանուր!G93</f>
        <v>3.4171730400000002</v>
      </c>
      <c r="F28" s="450">
        <f>+ընդհանուր!H93</f>
        <v>3464.4014999999999</v>
      </c>
      <c r="G28" s="450">
        <f>+ընդհանուր!I93</f>
        <v>3.565827852</v>
      </c>
    </row>
    <row r="29" spans="1:11">
      <c r="A29" s="42">
        <v>5</v>
      </c>
      <c r="B29" s="242" t="s">
        <v>229</v>
      </c>
      <c r="C29" s="450">
        <v>34.31</v>
      </c>
      <c r="D29" s="450">
        <f>+ընդհանուր!F94</f>
        <v>37.005728399999995</v>
      </c>
      <c r="E29" s="450">
        <f>+ընդհանուր!G94</f>
        <v>40.079391000000001</v>
      </c>
      <c r="F29" s="450">
        <f>+ընդհանուր!H94</f>
        <v>41.275228200000001</v>
      </c>
      <c r="G29" s="450">
        <f>+ընդհանուր!I94</f>
        <v>43.298047200000006</v>
      </c>
    </row>
    <row r="31" spans="1:11">
      <c r="A31" s="367" t="s">
        <v>251</v>
      </c>
    </row>
    <row r="33" spans="1:7">
      <c r="A33" s="453"/>
      <c r="B33" s="451" t="s">
        <v>255</v>
      </c>
      <c r="C33" s="236">
        <v>2022</v>
      </c>
      <c r="D33" s="236">
        <v>2023</v>
      </c>
      <c r="E33" s="236">
        <v>2024</v>
      </c>
      <c r="F33" s="236">
        <v>2025</v>
      </c>
      <c r="G33" s="236">
        <v>2026</v>
      </c>
    </row>
    <row r="34" spans="1:7">
      <c r="A34" s="42">
        <v>1</v>
      </c>
      <c r="B34" s="456" t="s">
        <v>248</v>
      </c>
      <c r="C34" s="381">
        <v>33472.199999999997</v>
      </c>
      <c r="D34" s="382">
        <v>35078.865599999997</v>
      </c>
      <c r="E34" s="382">
        <v>36446.941358399999</v>
      </c>
      <c r="F34" s="382">
        <v>37904.819012735999</v>
      </c>
      <c r="G34" s="382">
        <v>39421.011773245438</v>
      </c>
    </row>
    <row r="35" spans="1:7">
      <c r="A35" s="42">
        <v>2</v>
      </c>
      <c r="B35" s="242" t="s">
        <v>249</v>
      </c>
      <c r="C35" s="381">
        <v>62082.3</v>
      </c>
      <c r="D35" s="382">
        <v>65062.250399999997</v>
      </c>
      <c r="E35" s="382">
        <v>67599.678165599995</v>
      </c>
      <c r="F35" s="382">
        <v>70303.665292223988</v>
      </c>
      <c r="G35" s="382">
        <v>73115.811903912952</v>
      </c>
    </row>
    <row r="36" spans="1:7">
      <c r="A36" s="42">
        <v>3</v>
      </c>
      <c r="B36" s="242" t="s">
        <v>250</v>
      </c>
      <c r="C36" s="404"/>
      <c r="D36" s="383">
        <v>3.9E-2</v>
      </c>
      <c r="E36" s="383">
        <v>0.04</v>
      </c>
      <c r="F36" s="383">
        <v>0.04</v>
      </c>
      <c r="G36" s="383">
        <v>0.04</v>
      </c>
    </row>
    <row r="37" spans="1:7">
      <c r="B37" s="244"/>
    </row>
    <row r="38" spans="1:7">
      <c r="A38" s="42"/>
      <c r="B38" s="57"/>
      <c r="C38" s="236">
        <v>2022</v>
      </c>
      <c r="D38" s="236">
        <v>2023</v>
      </c>
      <c r="E38" s="236">
        <v>2024</v>
      </c>
      <c r="F38" s="236">
        <v>2025</v>
      </c>
      <c r="G38" s="236">
        <v>2026</v>
      </c>
    </row>
    <row r="39" spans="1:7">
      <c r="A39" s="453"/>
      <c r="B39" s="451" t="s">
        <v>262</v>
      </c>
      <c r="C39" s="454"/>
      <c r="D39" s="454"/>
      <c r="E39" s="454"/>
      <c r="F39" s="454"/>
      <c r="G39" s="455"/>
    </row>
    <row r="40" spans="1:7">
      <c r="A40" s="42">
        <v>1</v>
      </c>
      <c r="B40" s="242" t="s">
        <v>248</v>
      </c>
      <c r="C40" s="452">
        <v>42256.3</v>
      </c>
      <c r="D40" s="452">
        <v>44284.602400000003</v>
      </c>
      <c r="E40" s="452">
        <v>46011.701893600002</v>
      </c>
      <c r="F40" s="452">
        <v>47852.169969344002</v>
      </c>
      <c r="G40" s="452">
        <v>49766.256768117761</v>
      </c>
    </row>
    <row r="41" spans="1:7">
      <c r="A41" s="42">
        <v>2</v>
      </c>
      <c r="B41" s="242" t="s">
        <v>249</v>
      </c>
      <c r="C41" s="452">
        <v>78174.200000000012</v>
      </c>
      <c r="D41" s="452">
        <v>81926.561600000015</v>
      </c>
      <c r="E41" s="452">
        <v>85121.697502400013</v>
      </c>
      <c r="F41" s="452">
        <v>88526.565402496009</v>
      </c>
      <c r="G41" s="452">
        <v>92067.62801859586</v>
      </c>
    </row>
    <row r="42" spans="1:7">
      <c r="A42" s="42">
        <v>3</v>
      </c>
      <c r="B42" s="242" t="s">
        <v>250</v>
      </c>
      <c r="C42" s="42"/>
      <c r="D42" s="383">
        <v>4.8000000000000001E-2</v>
      </c>
      <c r="E42" s="383">
        <v>3.9E-2</v>
      </c>
      <c r="F42" s="383">
        <v>0.04</v>
      </c>
      <c r="G42" s="383">
        <v>0.04</v>
      </c>
    </row>
    <row r="45" spans="1:7">
      <c r="A45" s="56" t="s">
        <v>224</v>
      </c>
      <c r="B45" s="57"/>
      <c r="C45" s="236" t="s">
        <v>188</v>
      </c>
      <c r="D45" s="236">
        <v>2023</v>
      </c>
      <c r="E45" s="236">
        <v>2024</v>
      </c>
      <c r="F45" s="236">
        <v>2025</v>
      </c>
      <c r="G45" s="236">
        <v>2026</v>
      </c>
    </row>
    <row r="46" spans="1:7">
      <c r="A46" s="42">
        <v>1</v>
      </c>
      <c r="B46" s="242" t="s">
        <v>23</v>
      </c>
      <c r="C46" s="298">
        <v>36000</v>
      </c>
      <c r="D46" s="298">
        <f>+ընդհանուր!F98</f>
        <v>36000</v>
      </c>
      <c r="E46" s="298">
        <f>+ընդհանուր!G98</f>
        <v>37000</v>
      </c>
      <c r="F46" s="298">
        <f>+ընդհանուր!H98</f>
        <v>38000</v>
      </c>
      <c r="G46" s="298">
        <f>+ընդհանուր!I98</f>
        <v>39500</v>
      </c>
    </row>
    <row r="47" spans="1:7">
      <c r="A47" s="42">
        <v>2</v>
      </c>
      <c r="B47" s="302" t="s">
        <v>225</v>
      </c>
      <c r="C47" s="298">
        <v>50323.120294598622</v>
      </c>
      <c r="D47" s="298">
        <f>+ընդհանուր!F99</f>
        <v>41212.143372861181</v>
      </c>
      <c r="E47" s="298">
        <f>+ընդհանուր!G99</f>
        <v>42579.567175393327</v>
      </c>
      <c r="F47" s="298">
        <f>+ընդհանուր!H99</f>
        <v>48697.464953100687</v>
      </c>
      <c r="G47" s="298">
        <f>+ընդհանուր!I99</f>
        <v>73781.167098738399</v>
      </c>
    </row>
    <row r="48" spans="1:7">
      <c r="A48" s="42">
        <v>3</v>
      </c>
      <c r="B48" s="242" t="s">
        <v>206</v>
      </c>
      <c r="C48" s="298">
        <v>89002.848247725182</v>
      </c>
      <c r="D48" s="298">
        <f>+ընդհանուր!F100</f>
        <v>91589.622311684288</v>
      </c>
      <c r="E48" s="298">
        <f>+ընդհանուր!G100</f>
        <v>95213.941494913757</v>
      </c>
      <c r="F48" s="298">
        <f>+ընդհանուր!H100</f>
        <v>104126.505407021</v>
      </c>
      <c r="G48" s="298">
        <f>+ընդհանուր!I100</f>
        <v>123388.4484566895</v>
      </c>
    </row>
    <row r="49" spans="1:7">
      <c r="A49" s="42">
        <v>4</v>
      </c>
      <c r="B49" s="459" t="s">
        <v>266</v>
      </c>
      <c r="C49" s="460">
        <f>+C47/C48</f>
        <v>0.56541022321591627</v>
      </c>
      <c r="D49" s="460">
        <f t="shared" ref="D49:G49" si="1">+D47/D48</f>
        <v>0.44996520711281129</v>
      </c>
      <c r="E49" s="460">
        <f t="shared" si="1"/>
        <v>0.44719887137187664</v>
      </c>
      <c r="F49" s="460">
        <f t="shared" si="1"/>
        <v>0.46767597512993203</v>
      </c>
      <c r="G49" s="460">
        <f t="shared" si="1"/>
        <v>0.59795846387221796</v>
      </c>
    </row>
    <row r="50" spans="1:7">
      <c r="A50" s="411"/>
      <c r="B50" s="412"/>
      <c r="C50" s="458"/>
      <c r="D50" s="458"/>
      <c r="E50" s="458"/>
      <c r="F50" s="458"/>
      <c r="G50" s="458"/>
    </row>
    <row r="52" spans="1:7">
      <c r="A52" s="42" t="s">
        <v>265</v>
      </c>
      <c r="B52" s="42"/>
      <c r="C52" s="236">
        <v>2023</v>
      </c>
      <c r="D52" s="236">
        <v>2024</v>
      </c>
      <c r="E52" s="236">
        <v>2025</v>
      </c>
      <c r="F52" s="236">
        <v>2026</v>
      </c>
    </row>
    <row r="53" spans="1:7">
      <c r="A53" s="42">
        <v>1</v>
      </c>
      <c r="B53" s="242" t="s">
        <v>256</v>
      </c>
      <c r="C53" s="457">
        <f>+D46/D34</f>
        <v>1.0262589563329552</v>
      </c>
      <c r="D53" s="457">
        <f t="shared" ref="D53:F53" si="2">+E46/E34</f>
        <v>1.0151743499176382</v>
      </c>
      <c r="E53" s="457">
        <f>+F46/F34</f>
        <v>1.0025110524134682</v>
      </c>
      <c r="F53" s="457">
        <f t="shared" si="2"/>
        <v>1.0020037087634612</v>
      </c>
    </row>
    <row r="54" spans="1:7" ht="19.5" customHeight="1">
      <c r="A54" s="42">
        <v>2</v>
      </c>
      <c r="B54" s="302" t="s">
        <v>257</v>
      </c>
      <c r="C54" s="457">
        <f>+D47/D35</f>
        <v>0.63342634353239624</v>
      </c>
      <c r="D54" s="457">
        <f t="shared" ref="D54:E54" si="3">+E47/E35</f>
        <v>0.62987825283850452</v>
      </c>
      <c r="E54" s="457">
        <f t="shared" si="3"/>
        <v>0.69267320203982197</v>
      </c>
      <c r="F54" s="457">
        <f>+G47/G35</f>
        <v>1.0091000178689096</v>
      </c>
    </row>
  </sheetData>
  <mergeCells count="3">
    <mergeCell ref="C2:D2"/>
    <mergeCell ref="E2:K2"/>
    <mergeCell ref="A2:B2"/>
  </mergeCells>
  <pageMargins left="0.7" right="0.7" top="0.75" bottom="0.75" header="0.3" footer="0.3"/>
  <pageSetup paperSize="9"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28"/>
  <sheetViews>
    <sheetView zoomScale="145" zoomScaleNormal="145" workbookViewId="0">
      <pane xSplit="2" ySplit="8" topLeftCell="F93" activePane="bottomRight" state="frozen"/>
      <selection activeCell="C22" sqref="C22"/>
      <selection pane="topRight" activeCell="C22" sqref="C22"/>
      <selection pane="bottomLeft" activeCell="C22" sqref="C22"/>
      <selection pane="bottomRight" activeCell="F99" sqref="F99"/>
    </sheetView>
  </sheetViews>
  <sheetFormatPr defaultColWidth="8.85546875" defaultRowHeight="17.25" outlineLevelRow="1" outlineLevelCol="1"/>
  <cols>
    <col min="1" max="1" width="7.85546875" style="28" customWidth="1"/>
    <col min="2" max="2" width="43.7109375" style="28" customWidth="1"/>
    <col min="3" max="3" width="9.85546875" style="235" hidden="1" customWidth="1"/>
    <col min="4" max="4" width="14.28515625" style="235" customWidth="1"/>
    <col min="5" max="5" width="12.42578125" style="235" customWidth="1"/>
    <col min="6" max="6" width="11.28515625" style="235" bestFit="1" customWidth="1"/>
    <col min="7" max="7" width="12.85546875" style="235" bestFit="1" customWidth="1"/>
    <col min="8" max="8" width="15.85546875" style="235" bestFit="1" customWidth="1"/>
    <col min="9" max="9" width="12.85546875" style="235" bestFit="1" customWidth="1"/>
    <col min="10" max="10" width="11.5703125" style="235" bestFit="1" customWidth="1"/>
    <col min="11" max="11" width="13.28515625" style="235" bestFit="1" customWidth="1"/>
    <col min="12" max="12" width="10.42578125" style="235" bestFit="1" customWidth="1"/>
    <col min="13" max="14" width="17" style="235" hidden="1" customWidth="1" outlineLevel="1"/>
    <col min="15" max="15" width="15" style="385" bestFit="1" customWidth="1" collapsed="1"/>
    <col min="16" max="16" width="14" style="28" customWidth="1"/>
    <col min="17" max="17" width="14.7109375" style="28" bestFit="1" customWidth="1"/>
    <col min="18" max="16384" width="8.85546875" style="28"/>
  </cols>
  <sheetData>
    <row r="1" spans="1:15">
      <c r="F1" s="235">
        <v>2022</v>
      </c>
      <c r="G1" s="235">
        <v>2023</v>
      </c>
      <c r="H1" s="28"/>
      <c r="I1" s="235">
        <v>2024</v>
      </c>
      <c r="J1" s="28"/>
      <c r="K1" s="235">
        <v>2025</v>
      </c>
      <c r="L1" s="235">
        <v>2026</v>
      </c>
    </row>
    <row r="2" spans="1:15">
      <c r="E2" s="235" t="s">
        <v>258</v>
      </c>
      <c r="F2" s="392">
        <f>E104+E104*F106/2</f>
        <v>34275.532799999994</v>
      </c>
      <c r="G2" s="392">
        <f>+F104</f>
        <v>35078.865599999997</v>
      </c>
      <c r="H2" s="392">
        <f>+F104+F104*G106/2</f>
        <v>35762.903479199995</v>
      </c>
      <c r="I2" s="392">
        <f>+G104</f>
        <v>36446.941358399999</v>
      </c>
      <c r="J2" s="392">
        <f>G104*(1+H106/2)</f>
        <v>37175.880185567999</v>
      </c>
      <c r="K2" s="392">
        <f>+H104</f>
        <v>37904.819012735999</v>
      </c>
      <c r="L2" s="392">
        <f>+I104</f>
        <v>39421.011773245438</v>
      </c>
    </row>
    <row r="3" spans="1:15">
      <c r="E3" s="235" t="s">
        <v>259</v>
      </c>
      <c r="F3" s="392">
        <f>ROUND(F2,-2)</f>
        <v>34300</v>
      </c>
      <c r="G3" s="392">
        <f t="shared" ref="G3:L3" si="0">ROUND(G2,-2)</f>
        <v>35100</v>
      </c>
      <c r="H3" s="392">
        <f t="shared" si="0"/>
        <v>35800</v>
      </c>
      <c r="I3" s="392">
        <f t="shared" si="0"/>
        <v>36400</v>
      </c>
      <c r="J3" s="392">
        <f t="shared" si="0"/>
        <v>37200</v>
      </c>
      <c r="K3" s="392">
        <f t="shared" si="0"/>
        <v>37900</v>
      </c>
      <c r="L3" s="392">
        <f t="shared" si="0"/>
        <v>39400</v>
      </c>
    </row>
    <row r="4" spans="1:15">
      <c r="E4" s="235" t="s">
        <v>261</v>
      </c>
      <c r="F4" s="405"/>
      <c r="G4" s="392">
        <v>4400</v>
      </c>
      <c r="H4" s="392">
        <v>0</v>
      </c>
      <c r="I4" s="392">
        <v>1000</v>
      </c>
      <c r="J4" s="392">
        <v>0</v>
      </c>
      <c r="K4" s="392">
        <v>1000</v>
      </c>
      <c r="L4" s="392">
        <v>1500</v>
      </c>
    </row>
    <row r="5" spans="1:15">
      <c r="F5" s="476"/>
      <c r="G5" s="476"/>
      <c r="H5" s="477"/>
      <c r="I5" s="476"/>
      <c r="J5" s="477"/>
      <c r="K5" s="392">
        <f>+K20-I105</f>
        <v>665.35519482544623</v>
      </c>
      <c r="L5" s="476"/>
    </row>
    <row r="6" spans="1:15">
      <c r="E6" s="235" t="s">
        <v>243</v>
      </c>
      <c r="F6" s="369">
        <v>6</v>
      </c>
      <c r="G6" s="293">
        <f>12-F6</f>
        <v>6</v>
      </c>
      <c r="H6" s="293">
        <f>+F6</f>
        <v>6</v>
      </c>
      <c r="I6" s="293">
        <f>+G6</f>
        <v>6</v>
      </c>
      <c r="J6" s="293">
        <f>+H6</f>
        <v>6</v>
      </c>
      <c r="K6" s="293">
        <f>+I6</f>
        <v>6</v>
      </c>
      <c r="N6" s="385"/>
      <c r="O6" s="28"/>
    </row>
    <row r="7" spans="1:15">
      <c r="E7" s="235" t="s">
        <v>260</v>
      </c>
      <c r="F7" s="293"/>
      <c r="G7" s="293"/>
      <c r="H7" s="293"/>
      <c r="I7" s="293"/>
      <c r="J7" s="293"/>
      <c r="K7" s="293"/>
      <c r="N7" s="385"/>
      <c r="O7" s="28"/>
    </row>
    <row r="8" spans="1:15" s="353" customFormat="1" ht="27">
      <c r="A8" s="349"/>
      <c r="B8" s="350" t="s">
        <v>56</v>
      </c>
      <c r="C8" s="351">
        <v>2021</v>
      </c>
      <c r="D8" s="351">
        <v>2022</v>
      </c>
      <c r="E8" s="352" t="s">
        <v>217</v>
      </c>
      <c r="F8" s="352" t="s">
        <v>218</v>
      </c>
      <c r="G8" s="352" t="s">
        <v>219</v>
      </c>
      <c r="H8" s="352" t="s">
        <v>220</v>
      </c>
      <c r="I8" s="352" t="s">
        <v>221</v>
      </c>
      <c r="J8" s="352" t="s">
        <v>222</v>
      </c>
      <c r="K8" s="351">
        <v>2026</v>
      </c>
      <c r="L8" s="386"/>
    </row>
    <row r="9" spans="1:15">
      <c r="A9" s="133" t="s">
        <v>57</v>
      </c>
      <c r="B9" s="245"/>
      <c r="C9" s="234"/>
      <c r="D9" s="234"/>
      <c r="E9" s="234"/>
      <c r="F9" s="234"/>
      <c r="G9" s="234"/>
      <c r="H9" s="234"/>
      <c r="I9" s="234"/>
      <c r="J9" s="234"/>
      <c r="K9" s="234"/>
      <c r="L9" s="385"/>
      <c r="M9" s="28"/>
      <c r="N9" s="28"/>
      <c r="O9" s="28"/>
    </row>
    <row r="10" spans="1:15">
      <c r="A10" s="58">
        <v>1.1000000000000001</v>
      </c>
      <c r="B10" s="58" t="s">
        <v>22</v>
      </c>
      <c r="C10" s="234">
        <v>18000</v>
      </c>
      <c r="D10" s="234">
        <f>+C10</f>
        <v>18000</v>
      </c>
      <c r="E10" s="234">
        <v>21000</v>
      </c>
      <c r="F10" s="234">
        <f>+E11+G4</f>
        <v>36000</v>
      </c>
      <c r="G10" s="234">
        <f>+F10+H4</f>
        <v>36000</v>
      </c>
      <c r="H10" s="234">
        <f>+G10+I4</f>
        <v>37000</v>
      </c>
      <c r="I10" s="234">
        <f>+H10+J4</f>
        <v>37000</v>
      </c>
      <c r="J10" s="234">
        <f>+I10+K4</f>
        <v>38000</v>
      </c>
      <c r="K10" s="234">
        <f>J10+L4</f>
        <v>39500</v>
      </c>
      <c r="L10" s="391"/>
      <c r="M10" s="28"/>
      <c r="N10" s="28"/>
      <c r="O10" s="28"/>
    </row>
    <row r="11" spans="1:15">
      <c r="A11" s="58">
        <v>1.2</v>
      </c>
      <c r="B11" s="58" t="s">
        <v>23</v>
      </c>
      <c r="C11" s="234">
        <v>26500</v>
      </c>
      <c r="D11" s="234">
        <f>+C11+2100</f>
        <v>28600</v>
      </c>
      <c r="E11" s="234">
        <f>+D11+3000</f>
        <v>31600</v>
      </c>
      <c r="F11" s="388">
        <v>0</v>
      </c>
      <c r="G11" s="388">
        <v>0</v>
      </c>
      <c r="H11" s="388">
        <v>0</v>
      </c>
      <c r="I11" s="388">
        <v>0</v>
      </c>
      <c r="J11" s="388">
        <v>0</v>
      </c>
      <c r="K11" s="388">
        <v>0</v>
      </c>
      <c r="L11" s="391"/>
      <c r="M11" s="28"/>
      <c r="N11" s="28"/>
      <c r="O11" s="28"/>
    </row>
    <row r="12" spans="1:15">
      <c r="A12" s="58">
        <v>1.3</v>
      </c>
      <c r="B12" s="58" t="s">
        <v>156</v>
      </c>
      <c r="C12" s="234"/>
      <c r="D12" s="234"/>
      <c r="E12" s="408"/>
      <c r="F12" s="408">
        <f>+F13/E13-1</f>
        <v>0.25</v>
      </c>
      <c r="G12" s="408">
        <f t="shared" ref="G12:K12" si="1">+G13/F13-1</f>
        <v>0</v>
      </c>
      <c r="H12" s="408">
        <f t="shared" si="1"/>
        <v>4.0000000000000036E-2</v>
      </c>
      <c r="I12" s="408">
        <f t="shared" si="1"/>
        <v>0</v>
      </c>
      <c r="J12" s="408">
        <f t="shared" si="1"/>
        <v>1.9230769230769162E-2</v>
      </c>
      <c r="K12" s="408">
        <f t="shared" si="1"/>
        <v>3.7735849056603765E-2</v>
      </c>
      <c r="L12" s="391"/>
      <c r="M12" s="28"/>
      <c r="N12" s="28"/>
      <c r="O12" s="28"/>
    </row>
    <row r="13" spans="1:15">
      <c r="A13" s="58"/>
      <c r="B13" s="59" t="s">
        <v>33</v>
      </c>
      <c r="C13" s="234">
        <f t="shared" ref="C13" si="2">+C10*0.4+C11</f>
        <v>33700</v>
      </c>
      <c r="D13" s="234">
        <f>+D10*0.4+D11</f>
        <v>35800</v>
      </c>
      <c r="E13" s="234">
        <f>+E11+E10*0.4</f>
        <v>40000</v>
      </c>
      <c r="F13" s="234">
        <f t="shared" ref="F13:K13" si="3">ROUND(F10*1.4,-3)</f>
        <v>50000</v>
      </c>
      <c r="G13" s="234">
        <f t="shared" si="3"/>
        <v>50000</v>
      </c>
      <c r="H13" s="234">
        <f t="shared" si="3"/>
        <v>52000</v>
      </c>
      <c r="I13" s="234">
        <f t="shared" si="3"/>
        <v>52000</v>
      </c>
      <c r="J13" s="234">
        <f t="shared" si="3"/>
        <v>53000</v>
      </c>
      <c r="K13" s="234">
        <f t="shared" si="3"/>
        <v>55000</v>
      </c>
      <c r="L13" s="391"/>
      <c r="M13" s="390">
        <f>F13/$F$10</f>
        <v>1.3888888888888888</v>
      </c>
      <c r="N13" s="28"/>
      <c r="O13" s="28"/>
    </row>
    <row r="14" spans="1:15">
      <c r="A14" s="58"/>
      <c r="B14" s="59" t="s">
        <v>34</v>
      </c>
      <c r="C14" s="234">
        <f t="shared" ref="C14:D14" si="4">+C11+C10*0.2</f>
        <v>30100</v>
      </c>
      <c r="D14" s="234">
        <f t="shared" si="4"/>
        <v>32200</v>
      </c>
      <c r="E14" s="234">
        <f>+E11+E10*0.2</f>
        <v>35800</v>
      </c>
      <c r="F14" s="234">
        <f t="shared" ref="F14:K14" si="5">ROUND(F10*1.2,-3)</f>
        <v>43000</v>
      </c>
      <c r="G14" s="234">
        <f t="shared" si="5"/>
        <v>43000</v>
      </c>
      <c r="H14" s="234">
        <f t="shared" si="5"/>
        <v>44000</v>
      </c>
      <c r="I14" s="234">
        <f t="shared" si="5"/>
        <v>44000</v>
      </c>
      <c r="J14" s="234">
        <f t="shared" si="5"/>
        <v>46000</v>
      </c>
      <c r="K14" s="234">
        <f t="shared" si="5"/>
        <v>47000</v>
      </c>
      <c r="L14" s="391"/>
      <c r="M14" s="390">
        <f>F14/$F$10</f>
        <v>1.1944444444444444</v>
      </c>
      <c r="N14" s="28"/>
      <c r="O14" s="28"/>
    </row>
    <row r="15" spans="1:15">
      <c r="A15" s="58"/>
      <c r="B15" s="59" t="s">
        <v>35</v>
      </c>
      <c r="C15" s="234">
        <f t="shared" ref="C15:D15" si="6">+C11</f>
        <v>26500</v>
      </c>
      <c r="D15" s="234">
        <f t="shared" si="6"/>
        <v>28600</v>
      </c>
      <c r="E15" s="234">
        <f>+E11</f>
        <v>31600</v>
      </c>
      <c r="F15" s="234">
        <f t="shared" ref="F15" si="7">+F10</f>
        <v>36000</v>
      </c>
      <c r="G15" s="234">
        <f t="shared" ref="G15:I15" si="8">+G10</f>
        <v>36000</v>
      </c>
      <c r="H15" s="234">
        <f t="shared" si="8"/>
        <v>37000</v>
      </c>
      <c r="I15" s="234">
        <f t="shared" si="8"/>
        <v>37000</v>
      </c>
      <c r="J15" s="234">
        <f t="shared" ref="J15:K15" si="9">+J10</f>
        <v>38000</v>
      </c>
      <c r="K15" s="234">
        <f t="shared" si="9"/>
        <v>39500</v>
      </c>
      <c r="L15" s="391"/>
      <c r="M15" s="390">
        <f>F15/$F$10</f>
        <v>1</v>
      </c>
      <c r="N15" s="28"/>
      <c r="O15" s="28"/>
    </row>
    <row r="16" spans="1:15" ht="34.5">
      <c r="A16" s="58">
        <v>1.4</v>
      </c>
      <c r="B16" s="241" t="s">
        <v>62</v>
      </c>
      <c r="C16" s="234">
        <v>950</v>
      </c>
      <c r="D16" s="234">
        <f>+C16</f>
        <v>950</v>
      </c>
      <c r="E16" s="234">
        <v>950</v>
      </c>
      <c r="F16" s="389">
        <v>0</v>
      </c>
      <c r="G16" s="389">
        <f>+F16</f>
        <v>0</v>
      </c>
      <c r="H16" s="389">
        <f t="shared" ref="H16:K16" si="10">+G16</f>
        <v>0</v>
      </c>
      <c r="I16" s="389">
        <f t="shared" si="10"/>
        <v>0</v>
      </c>
      <c r="J16" s="389">
        <f t="shared" si="10"/>
        <v>0</v>
      </c>
      <c r="K16" s="389">
        <f t="shared" si="10"/>
        <v>0</v>
      </c>
      <c r="L16" s="385"/>
      <c r="M16" s="28"/>
      <c r="N16" s="28"/>
      <c r="O16" s="28"/>
    </row>
    <row r="17" spans="1:15" ht="34.5">
      <c r="A17" s="58">
        <v>1.5</v>
      </c>
      <c r="B17" s="241" t="s">
        <v>63</v>
      </c>
      <c r="C17" s="234">
        <v>500</v>
      </c>
      <c r="D17" s="234">
        <f>+C17</f>
        <v>500</v>
      </c>
      <c r="E17" s="234">
        <v>500</v>
      </c>
      <c r="F17" s="234">
        <v>525</v>
      </c>
      <c r="G17" s="234">
        <v>500</v>
      </c>
      <c r="H17" s="234">
        <v>550</v>
      </c>
      <c r="I17" s="234">
        <v>625</v>
      </c>
      <c r="J17" s="234">
        <v>800</v>
      </c>
      <c r="K17" s="234">
        <v>1900</v>
      </c>
      <c r="L17" s="391"/>
      <c r="M17" s="28"/>
      <c r="N17" s="28"/>
      <c r="O17" s="28"/>
    </row>
    <row r="18" spans="1:15" ht="51.75">
      <c r="A18" s="58">
        <v>1.6</v>
      </c>
      <c r="B18" s="241" t="s">
        <v>236</v>
      </c>
      <c r="C18" s="234">
        <v>5</v>
      </c>
      <c r="D18" s="234">
        <v>5</v>
      </c>
      <c r="E18" s="234">
        <v>5</v>
      </c>
      <c r="F18" s="387">
        <v>2.95</v>
      </c>
      <c r="G18" s="387">
        <v>2.95</v>
      </c>
      <c r="H18" s="387">
        <v>2.9</v>
      </c>
      <c r="I18" s="475">
        <v>2.9</v>
      </c>
      <c r="J18" s="387">
        <v>2.85</v>
      </c>
      <c r="K18" s="387">
        <v>2.8</v>
      </c>
      <c r="L18" s="385"/>
      <c r="M18" s="28"/>
      <c r="N18" s="28"/>
      <c r="O18" s="28"/>
    </row>
    <row r="19" spans="1:15" ht="51.75">
      <c r="A19" s="58">
        <v>1.7</v>
      </c>
      <c r="B19" s="241" t="s">
        <v>233</v>
      </c>
      <c r="C19" s="234">
        <f>+C10*5</f>
        <v>90000</v>
      </c>
      <c r="D19" s="234">
        <f t="shared" ref="D19:E19" si="11">+D10*5</f>
        <v>90000</v>
      </c>
      <c r="E19" s="234">
        <f t="shared" si="11"/>
        <v>105000</v>
      </c>
      <c r="F19" s="234">
        <f>+F10*F18</f>
        <v>106200</v>
      </c>
      <c r="G19" s="234">
        <f>+G10*G18</f>
        <v>106200</v>
      </c>
      <c r="H19" s="234">
        <f t="shared" ref="H19:K19" si="12">+H10*H18</f>
        <v>107300</v>
      </c>
      <c r="I19" s="234">
        <f t="shared" si="12"/>
        <v>107300</v>
      </c>
      <c r="J19" s="234">
        <f t="shared" si="12"/>
        <v>108300</v>
      </c>
      <c r="K19" s="234">
        <f t="shared" si="12"/>
        <v>110600</v>
      </c>
      <c r="L19" s="391"/>
      <c r="M19" s="28"/>
      <c r="N19" s="28"/>
      <c r="O19" s="28"/>
    </row>
    <row r="20" spans="1:15" ht="34.5">
      <c r="A20" s="58">
        <v>1.8</v>
      </c>
      <c r="B20" s="241" t="s">
        <v>201</v>
      </c>
      <c r="C20" s="234">
        <v>43278.980751052652</v>
      </c>
      <c r="D20" s="234">
        <v>43521.223926585968</v>
      </c>
      <c r="E20" s="234">
        <f>+E36/E28/6*1000000000</f>
        <v>37871.689340607925</v>
      </c>
      <c r="F20" s="234">
        <f>+F36/F28/6*1000000000</f>
        <v>41212.143372861181</v>
      </c>
      <c r="G20" s="234">
        <f t="shared" ref="G20:H20" si="13">+G36/G28/6*1000000000</f>
        <v>40685.996339651043</v>
      </c>
      <c r="H20" s="234">
        <f t="shared" si="13"/>
        <v>42579.567175393327</v>
      </c>
      <c r="I20" s="234">
        <f>+I36/I28/6*1000000000</f>
        <v>44099.378728796757</v>
      </c>
      <c r="J20" s="234">
        <f>+J36/J28/6*1000000000</f>
        <v>48697.464953100687</v>
      </c>
      <c r="K20" s="234">
        <f>+K36/K28/12*1000000000</f>
        <v>73781.167098738399</v>
      </c>
      <c r="L20" s="391"/>
      <c r="M20" s="28"/>
      <c r="N20" s="28"/>
      <c r="O20" s="28"/>
    </row>
    <row r="21" spans="1:15" ht="34.5" outlineLevel="1">
      <c r="A21" s="58"/>
      <c r="B21" s="134" t="s">
        <v>32</v>
      </c>
      <c r="C21" s="234"/>
      <c r="D21" s="234"/>
      <c r="E21" s="234">
        <f>+տարիքային!F176*1000</f>
        <v>46831.371693178007</v>
      </c>
      <c r="F21" s="234">
        <f>+տարիքային!G176*1000</f>
        <v>50822.177568615531</v>
      </c>
      <c r="G21" s="234">
        <f>+տարիքային!H176*1000</f>
        <v>50140.079450484453</v>
      </c>
      <c r="H21" s="234">
        <f>+տարիքային!I176*1000</f>
        <v>52524.131889218348</v>
      </c>
      <c r="I21" s="234">
        <f>+տարիքային!J176*1000</f>
        <v>54634.310913437577</v>
      </c>
      <c r="J21" s="234">
        <f>+տարիքային!K176*1000</f>
        <v>60566.014811435787</v>
      </c>
      <c r="K21" s="234">
        <f>+տարիքային!L176*1000</f>
        <v>93093.994250009142</v>
      </c>
      <c r="L21" s="391"/>
      <c r="M21" s="28"/>
      <c r="N21" s="28"/>
      <c r="O21" s="28"/>
    </row>
    <row r="22" spans="1:15" outlineLevel="1">
      <c r="A22" s="58"/>
      <c r="B22" s="59" t="s">
        <v>64</v>
      </c>
      <c r="C22" s="234"/>
      <c r="D22" s="234"/>
      <c r="E22" s="234"/>
      <c r="F22" s="612"/>
      <c r="G22" s="234"/>
      <c r="H22" s="234"/>
      <c r="I22" s="234"/>
      <c r="J22" s="234"/>
      <c r="K22" s="234"/>
      <c r="L22" s="391"/>
      <c r="M22" s="28"/>
      <c r="N22" s="28"/>
      <c r="O22" s="28"/>
    </row>
    <row r="23" spans="1:15" outlineLevel="1">
      <c r="A23" s="58"/>
      <c r="B23" s="135" t="s">
        <v>33</v>
      </c>
      <c r="C23" s="234"/>
      <c r="D23" s="234"/>
      <c r="E23" s="234">
        <f>+'1-ին խումբ'!E103</f>
        <v>50215.790627185823</v>
      </c>
      <c r="F23" s="234">
        <f>+'1-ին խումբ'!F103</f>
        <v>53345.618325950105</v>
      </c>
      <c r="G23" s="234">
        <f>+'1-ին խումբ'!G103</f>
        <v>52864.78806248543</v>
      </c>
      <c r="H23" s="234">
        <f>+'1-ին խումբ'!H103</f>
        <v>55026.914898577757</v>
      </c>
      <c r="I23" s="234">
        <f>+'1-ին խումբ'!I103</f>
        <v>56472.773373746793</v>
      </c>
      <c r="J23" s="234">
        <f>+'1-ին խումբ'!J103</f>
        <v>61055.768710655168</v>
      </c>
      <c r="K23" s="234">
        <f>+'1-ին խումբ'!K103</f>
        <v>84121.64980181861</v>
      </c>
      <c r="L23" s="391"/>
      <c r="M23" s="28"/>
      <c r="N23" s="28"/>
      <c r="O23" s="28"/>
    </row>
    <row r="24" spans="1:15" outlineLevel="1">
      <c r="A24" s="58"/>
      <c r="B24" s="135" t="s">
        <v>34</v>
      </c>
      <c r="C24" s="234"/>
      <c r="D24" s="234"/>
      <c r="E24" s="234">
        <f>+'2-րդ խումբ'!E123</f>
        <v>47783.348603517072</v>
      </c>
      <c r="F24" s="234">
        <f>+'2-րդ խումբ'!F123</f>
        <v>51391.35479163588</v>
      </c>
      <c r="G24" s="234">
        <f>+'2-րդ խումբ'!G123</f>
        <v>50829.861706319884</v>
      </c>
      <c r="H24" s="234">
        <f>+'2-րդ խումբ'!H123</f>
        <v>53052.847876951877</v>
      </c>
      <c r="I24" s="234">
        <f>+'2-րդ խումբ'!I123</f>
        <v>54737.32713289986</v>
      </c>
      <c r="J24" s="234">
        <f>+'2-րդ խումբ'!J123</f>
        <v>59767.778730111815</v>
      </c>
      <c r="K24" s="234">
        <f>+'2-րդ խումբ'!K123</f>
        <v>86123.474484015562</v>
      </c>
      <c r="L24" s="391"/>
      <c r="M24" s="28"/>
      <c r="N24" s="28"/>
      <c r="O24" s="28"/>
    </row>
    <row r="25" spans="1:15" outlineLevel="1">
      <c r="A25" s="58"/>
      <c r="B25" s="135" t="s">
        <v>35</v>
      </c>
      <c r="C25" s="234"/>
      <c r="D25" s="234"/>
      <c r="E25" s="234">
        <f>+'3-րդ խումբ'!E102</f>
        <v>42121.921449518224</v>
      </c>
      <c r="F25" s="234">
        <f>+'3-րդ խումբ'!F102</f>
        <v>46469.580278592373</v>
      </c>
      <c r="G25" s="234">
        <f>+'3-րդ խումբ'!G102</f>
        <v>45971.028836754645</v>
      </c>
      <c r="H25" s="234">
        <f>+'3-րդ խումբ'!H102</f>
        <v>47968.131720430109</v>
      </c>
      <c r="I25" s="234">
        <f>+'3-րդ խումբ'!I102</f>
        <v>49463.786045943307</v>
      </c>
      <c r="J25" s="234">
        <f>+'3-րդ խումբ'!J102</f>
        <v>53953.646138807431</v>
      </c>
      <c r="K25" s="234">
        <f>+'3-րդ խումբ'!K102</f>
        <v>77389.909579667641</v>
      </c>
      <c r="L25" s="391"/>
      <c r="M25" s="28"/>
      <c r="N25" s="28"/>
      <c r="O25" s="28"/>
    </row>
    <row r="26" spans="1:15" ht="51.75" outlineLevel="1">
      <c r="A26" s="58"/>
      <c r="B26" s="134" t="s">
        <v>65</v>
      </c>
      <c r="C26" s="234"/>
      <c r="D26" s="234"/>
      <c r="E26" s="234">
        <f>+'կերկոր 1'!E190</f>
        <v>34903.804021608645</v>
      </c>
      <c r="F26" s="234">
        <f>+'կերկոր 1'!F190</f>
        <v>42213.177258403361</v>
      </c>
      <c r="G26" s="234">
        <f>+'կերկոր 1'!G190</f>
        <v>41917.311674669865</v>
      </c>
      <c r="H26" s="234">
        <f>+'կերկոր 1'!H190</f>
        <v>43509.042842136856</v>
      </c>
      <c r="I26" s="234">
        <f>+'կերկոր 1'!I190</f>
        <v>44396.639593337335</v>
      </c>
      <c r="J26" s="234">
        <f>+'կերկոր 1'!J190</f>
        <v>47467.698679471789</v>
      </c>
      <c r="K26" s="234">
        <f>+'կերկոր 1'!K190</f>
        <v>61985.784363745501</v>
      </c>
      <c r="L26" s="391"/>
      <c r="M26" s="28"/>
      <c r="N26" s="28"/>
      <c r="O26" s="28"/>
    </row>
    <row r="27" spans="1:15" ht="51.75" outlineLevel="1">
      <c r="A27" s="58"/>
      <c r="B27" s="134" t="s">
        <v>58</v>
      </c>
      <c r="C27" s="234"/>
      <c r="D27" s="234"/>
      <c r="E27" s="234">
        <f>+'կերկոր 2'!E104</f>
        <v>116646.84684684685</v>
      </c>
      <c r="F27" s="234">
        <f>+'կերկոր 2'!F104</f>
        <v>112695.81081081081</v>
      </c>
      <c r="G27" s="234">
        <f>+'կերկոր 2'!G104</f>
        <v>112386.48648648648</v>
      </c>
      <c r="H27" s="234">
        <f>+'կերկոր 2'!H104</f>
        <v>114105.13513513513</v>
      </c>
      <c r="I27" s="234">
        <f>+'կերկոր 2'!I104</f>
        <v>115033.10810810811</v>
      </c>
      <c r="J27" s="234">
        <f>+'կերկոր 2'!J104</f>
        <v>118198.37837837837</v>
      </c>
      <c r="K27" s="234">
        <f>+'կերկոր 2'!K104</f>
        <v>134108.64864864864</v>
      </c>
      <c r="L27" s="391"/>
      <c r="M27" s="28"/>
      <c r="N27" s="28"/>
      <c r="O27" s="28"/>
    </row>
    <row r="28" spans="1:15" ht="34.5" outlineLevel="1">
      <c r="A28" s="58">
        <v>1.9</v>
      </c>
      <c r="B28" s="241" t="s">
        <v>143</v>
      </c>
      <c r="C28" s="234"/>
      <c r="D28" s="234"/>
      <c r="E28" s="234">
        <f>SUM(E29:E35)</f>
        <v>566264</v>
      </c>
      <c r="F28" s="234">
        <f>SUM(F29:F35)</f>
        <v>568039.65500000003</v>
      </c>
      <c r="G28" s="234">
        <f t="shared" ref="G28:J28" si="14">SUM(G29:G35)</f>
        <v>568039.65500000003</v>
      </c>
      <c r="H28" s="234">
        <f t="shared" si="14"/>
        <v>568039.65500000003</v>
      </c>
      <c r="I28" s="234">
        <f t="shared" si="14"/>
        <v>562712.68999999994</v>
      </c>
      <c r="J28" s="234">
        <f t="shared" si="14"/>
        <v>562712.68999999994</v>
      </c>
      <c r="K28" s="234">
        <f>SUM(K29:K35)</f>
        <v>566264</v>
      </c>
      <c r="L28" s="391"/>
      <c r="M28" s="28"/>
      <c r="N28" s="28"/>
      <c r="O28" s="28"/>
    </row>
    <row r="29" spans="1:15" ht="34.5" outlineLevel="1">
      <c r="A29" s="58"/>
      <c r="B29" s="134" t="s">
        <v>32</v>
      </c>
      <c r="C29" s="234"/>
      <c r="D29" s="234">
        <v>351232</v>
      </c>
      <c r="E29" s="234">
        <f>+տարիքային!D175</f>
        <v>355131</v>
      </c>
      <c r="F29" s="234">
        <f>+$E$29*տարիքային!G24</f>
        <v>356906.65499999997</v>
      </c>
      <c r="G29" s="234">
        <f>+$E$29*տարիքային!H24</f>
        <v>356906.65499999997</v>
      </c>
      <c r="H29" s="234">
        <f>+$E$29*տարիքային!I24</f>
        <v>356906.65499999997</v>
      </c>
      <c r="I29" s="234">
        <f>+$E$29*տարիքային!J24</f>
        <v>351579.69</v>
      </c>
      <c r="J29" s="234">
        <f>+$E$29*տարիքային!K24</f>
        <v>351579.69</v>
      </c>
      <c r="K29" s="234">
        <f>+$E$29*տարիքային!L24</f>
        <v>355131</v>
      </c>
      <c r="L29" s="391"/>
      <c r="M29" s="28"/>
      <c r="N29" s="28"/>
      <c r="O29" s="28"/>
    </row>
    <row r="30" spans="1:15" outlineLevel="1">
      <c r="A30" s="58"/>
      <c r="B30" s="59" t="s">
        <v>64</v>
      </c>
      <c r="C30" s="234"/>
      <c r="D30" s="234">
        <f>SUM(D31:D33)</f>
        <v>104020</v>
      </c>
      <c r="E30" s="234">
        <f>SUM(E31:E33)</f>
        <v>102179</v>
      </c>
      <c r="F30" s="234">
        <f t="shared" ref="F30:K30" si="15">SUM(F31:F33)</f>
        <v>102179</v>
      </c>
      <c r="G30" s="234">
        <f t="shared" si="15"/>
        <v>102179</v>
      </c>
      <c r="H30" s="234">
        <f t="shared" si="15"/>
        <v>102179</v>
      </c>
      <c r="I30" s="234">
        <f t="shared" si="15"/>
        <v>102179</v>
      </c>
      <c r="J30" s="234">
        <f t="shared" si="15"/>
        <v>102179</v>
      </c>
      <c r="K30" s="234">
        <f t="shared" si="15"/>
        <v>102179</v>
      </c>
      <c r="L30" s="391"/>
      <c r="M30" s="28"/>
      <c r="N30" s="28"/>
      <c r="O30" s="28"/>
    </row>
    <row r="31" spans="1:15" outlineLevel="1">
      <c r="A31" s="58"/>
      <c r="B31" s="135" t="s">
        <v>33</v>
      </c>
      <c r="C31" s="234"/>
      <c r="D31" s="234">
        <v>4325</v>
      </c>
      <c r="E31" s="234">
        <f>+'1-ին խումբ'!C103</f>
        <v>4289</v>
      </c>
      <c r="F31" s="234">
        <f>+E31</f>
        <v>4289</v>
      </c>
      <c r="G31" s="234">
        <f t="shared" ref="G31:K31" si="16">+F31</f>
        <v>4289</v>
      </c>
      <c r="H31" s="234">
        <f t="shared" si="16"/>
        <v>4289</v>
      </c>
      <c r="I31" s="234">
        <f t="shared" si="16"/>
        <v>4289</v>
      </c>
      <c r="J31" s="234">
        <f t="shared" si="16"/>
        <v>4289</v>
      </c>
      <c r="K31" s="234">
        <f t="shared" si="16"/>
        <v>4289</v>
      </c>
      <c r="L31" s="391"/>
      <c r="M31" s="28"/>
      <c r="N31" s="28"/>
      <c r="O31" s="28"/>
    </row>
    <row r="32" spans="1:15" outlineLevel="1">
      <c r="A32" s="58"/>
      <c r="B32" s="135" t="s">
        <v>34</v>
      </c>
      <c r="C32" s="234"/>
      <c r="D32" s="234">
        <v>41205</v>
      </c>
      <c r="E32" s="234">
        <f>+'2-րդ խումբ'!C123</f>
        <v>40602</v>
      </c>
      <c r="F32" s="234">
        <f t="shared" ref="F32:K34" si="17">+E32</f>
        <v>40602</v>
      </c>
      <c r="G32" s="234">
        <f t="shared" si="17"/>
        <v>40602</v>
      </c>
      <c r="H32" s="234">
        <f t="shared" si="17"/>
        <v>40602</v>
      </c>
      <c r="I32" s="234">
        <f t="shared" si="17"/>
        <v>40602</v>
      </c>
      <c r="J32" s="234">
        <f t="shared" si="17"/>
        <v>40602</v>
      </c>
      <c r="K32" s="234">
        <f t="shared" si="17"/>
        <v>40602</v>
      </c>
      <c r="L32" s="391"/>
      <c r="M32" s="28"/>
      <c r="N32" s="28"/>
      <c r="O32" s="28"/>
    </row>
    <row r="33" spans="1:15" outlineLevel="1">
      <c r="A33" s="58"/>
      <c r="B33" s="135" t="s">
        <v>35</v>
      </c>
      <c r="C33" s="234"/>
      <c r="D33" s="234">
        <v>58490</v>
      </c>
      <c r="E33" s="234">
        <f>+'3-րդ խումբ'!C102</f>
        <v>57288</v>
      </c>
      <c r="F33" s="234">
        <f t="shared" si="17"/>
        <v>57288</v>
      </c>
      <c r="G33" s="234">
        <f t="shared" si="17"/>
        <v>57288</v>
      </c>
      <c r="H33" s="234">
        <f t="shared" si="17"/>
        <v>57288</v>
      </c>
      <c r="I33" s="234">
        <f t="shared" si="17"/>
        <v>57288</v>
      </c>
      <c r="J33" s="234">
        <f t="shared" si="17"/>
        <v>57288</v>
      </c>
      <c r="K33" s="234">
        <f t="shared" si="17"/>
        <v>57288</v>
      </c>
      <c r="L33" s="391"/>
      <c r="M33" s="28"/>
      <c r="N33" s="28"/>
      <c r="O33" s="28"/>
    </row>
    <row r="34" spans="1:15" ht="51.75" outlineLevel="1">
      <c r="A34" s="58"/>
      <c r="B34" s="134" t="s">
        <v>65</v>
      </c>
      <c r="C34" s="234"/>
      <c r="D34" s="234">
        <v>5782</v>
      </c>
      <c r="E34" s="234">
        <f>+'կերկոր 1'!C190</f>
        <v>6664</v>
      </c>
      <c r="F34" s="234">
        <f>+E34</f>
        <v>6664</v>
      </c>
      <c r="G34" s="234">
        <f t="shared" si="17"/>
        <v>6664</v>
      </c>
      <c r="H34" s="234">
        <f t="shared" si="17"/>
        <v>6664</v>
      </c>
      <c r="I34" s="234">
        <f t="shared" si="17"/>
        <v>6664</v>
      </c>
      <c r="J34" s="234">
        <f t="shared" si="17"/>
        <v>6664</v>
      </c>
      <c r="K34" s="234">
        <f t="shared" si="17"/>
        <v>6664</v>
      </c>
      <c r="L34" s="391"/>
      <c r="M34" s="28"/>
      <c r="N34" s="28"/>
      <c r="O34" s="28"/>
    </row>
    <row r="35" spans="1:15" ht="51.75" outlineLevel="1">
      <c r="A35" s="58"/>
      <c r="B35" s="134" t="s">
        <v>58</v>
      </c>
      <c r="C35" s="234"/>
      <c r="D35" s="234">
        <v>78</v>
      </c>
      <c r="E35" s="234">
        <f>+'կերկոր 2'!C104</f>
        <v>111</v>
      </c>
      <c r="F35" s="234">
        <f>+E35</f>
        <v>111</v>
      </c>
      <c r="G35" s="234">
        <f t="shared" ref="G35:K35" si="18">+F35</f>
        <v>111</v>
      </c>
      <c r="H35" s="234">
        <f t="shared" si="18"/>
        <v>111</v>
      </c>
      <c r="I35" s="234">
        <f t="shared" si="18"/>
        <v>111</v>
      </c>
      <c r="J35" s="234">
        <f t="shared" si="18"/>
        <v>111</v>
      </c>
      <c r="K35" s="234">
        <f t="shared" si="18"/>
        <v>111</v>
      </c>
      <c r="L35" s="391"/>
      <c r="M35" s="28"/>
      <c r="N35" s="28"/>
      <c r="O35" s="28"/>
    </row>
    <row r="36" spans="1:15">
      <c r="A36" s="362">
        <v>1.1000000000000001</v>
      </c>
      <c r="B36" s="241" t="s">
        <v>203</v>
      </c>
      <c r="C36" s="355">
        <v>238.61173573400862</v>
      </c>
      <c r="D36" s="355">
        <v>240.65913786194673</v>
      </c>
      <c r="E36" s="612">
        <f>SUM(E37:E43)</f>
        <v>128.67224575662001</v>
      </c>
      <c r="F36" s="612">
        <f>SUM(F37:F43)</f>
        <v>140.46079021998361</v>
      </c>
      <c r="G36" s="612">
        <f>SUM(G37:G43)</f>
        <v>138.66755594463984</v>
      </c>
      <c r="H36" s="612">
        <f t="shared" ref="H36:K36" si="19">SUM(H37:H43)</f>
        <v>145.12129589015851</v>
      </c>
      <c r="I36" s="612">
        <f t="shared" si="19"/>
        <v>148.89168019086</v>
      </c>
      <c r="J36" s="612">
        <f t="shared" si="19"/>
        <v>164.41608899964004</v>
      </c>
      <c r="K36" s="612">
        <f t="shared" si="19"/>
        <v>501.35542567200008</v>
      </c>
      <c r="L36" s="391"/>
      <c r="M36" s="28"/>
      <c r="N36" s="28"/>
      <c r="O36" s="28"/>
    </row>
    <row r="37" spans="1:15" ht="34.5" outlineLevel="1">
      <c r="A37" s="58"/>
      <c r="B37" s="134" t="s">
        <v>32</v>
      </c>
      <c r="C37" s="355"/>
      <c r="D37" s="355"/>
      <c r="E37" s="612">
        <f>+տարիքային!F7</f>
        <v>99.787631164619995</v>
      </c>
      <c r="F37" s="612">
        <f>+տարիքային!G7</f>
        <v>108.8326403749836</v>
      </c>
      <c r="G37" s="612">
        <f>+տարիքային!H7</f>
        <v>107.37196822863986</v>
      </c>
      <c r="H37" s="612">
        <f>+տարիքային!I7</f>
        <v>112.47727331615849</v>
      </c>
      <c r="I37" s="612">
        <f>+տարիքային!J7</f>
        <v>115.24988456586</v>
      </c>
      <c r="J37" s="612">
        <f>+տարիքային!K7</f>
        <v>127.76268427164001</v>
      </c>
      <c r="K37" s="612">
        <f>+տարիքային!L7</f>
        <v>396.72675926400001</v>
      </c>
      <c r="L37" s="391"/>
      <c r="M37" s="28"/>
      <c r="N37" s="28"/>
      <c r="O37" s="28"/>
    </row>
    <row r="38" spans="1:15" outlineLevel="1">
      <c r="A38" s="58"/>
      <c r="B38" s="59" t="s">
        <v>64</v>
      </c>
      <c r="C38" s="355"/>
      <c r="D38" s="355"/>
      <c r="E38" s="612"/>
      <c r="F38" s="612"/>
      <c r="G38" s="612"/>
      <c r="H38" s="612"/>
      <c r="I38" s="612"/>
      <c r="J38" s="612"/>
      <c r="K38" s="612"/>
      <c r="L38" s="391"/>
      <c r="M38" s="28"/>
      <c r="N38" s="28"/>
      <c r="O38" s="28"/>
    </row>
    <row r="39" spans="1:15" outlineLevel="1">
      <c r="A39" s="58"/>
      <c r="B39" s="135" t="s">
        <v>33</v>
      </c>
      <c r="C39" s="355"/>
      <c r="D39" s="355"/>
      <c r="E39" s="612">
        <f>+'1-ին խումբ'!E8</f>
        <v>1.2922531559999999</v>
      </c>
      <c r="F39" s="612">
        <f>+'1-ին խումբ'!F8</f>
        <v>1.3727961420000001</v>
      </c>
      <c r="G39" s="612">
        <f>+'1-ին խումբ'!G8</f>
        <v>1.360422456</v>
      </c>
      <c r="H39" s="612">
        <f>+'1-ին խումբ'!H8</f>
        <v>1.4160626279999999</v>
      </c>
      <c r="I39" s="612">
        <f>+'1-ին խումբ'!I8</f>
        <v>1.4532703499999999</v>
      </c>
      <c r="J39" s="612">
        <f>+'1-ին խումբ'!J8</f>
        <v>1.571209152</v>
      </c>
      <c r="K39" s="612">
        <f>+'1-ին խումբ'!K8</f>
        <v>4.3295730719999996</v>
      </c>
      <c r="L39" s="391"/>
      <c r="M39" s="28"/>
      <c r="N39" s="28"/>
      <c r="O39" s="28"/>
    </row>
    <row r="40" spans="1:15" outlineLevel="1">
      <c r="A40" s="58"/>
      <c r="B40" s="135" t="s">
        <v>34</v>
      </c>
      <c r="C40" s="355"/>
      <c r="D40" s="355"/>
      <c r="E40" s="612">
        <f>+'2-րդ խումբ'!E8</f>
        <v>11.640597120000001</v>
      </c>
      <c r="F40" s="612">
        <f>+'2-րդ խումբ'!F8</f>
        <v>12.5195507235</v>
      </c>
      <c r="G40" s="612">
        <f>+'2-րդ խումբ'!G8</f>
        <v>12.382764269999999</v>
      </c>
      <c r="H40" s="612">
        <f>+'2-րդ խումբ'!H8</f>
        <v>12.924310376999999</v>
      </c>
      <c r="I40" s="612">
        <f>+'2-րդ խումբ'!I8</f>
        <v>13.334669737500001</v>
      </c>
      <c r="J40" s="612">
        <f>+'2-րդ խումբ'!J8</f>
        <v>14.560148112</v>
      </c>
      <c r="K40" s="612">
        <f>+'2-րդ խումբ'!K8</f>
        <v>41.961423732</v>
      </c>
      <c r="L40" s="391"/>
      <c r="M40" s="28"/>
      <c r="N40" s="28"/>
      <c r="O40" s="28"/>
    </row>
    <row r="41" spans="1:15" outlineLevel="1">
      <c r="A41" s="58"/>
      <c r="B41" s="135" t="s">
        <v>35</v>
      </c>
      <c r="C41" s="355"/>
      <c r="D41" s="355"/>
      <c r="E41" s="612">
        <f>+'3-րդ խումբ'!E8</f>
        <v>14.478483816000001</v>
      </c>
      <c r="F41" s="612">
        <f>+'3-րդ խումբ'!F8</f>
        <v>15.97289589</v>
      </c>
      <c r="G41" s="612">
        <f>+'3-րդ խումբ'!G8</f>
        <v>15.801529800000001</v>
      </c>
      <c r="H41" s="612">
        <f>+'3-րդ խումբ'!H8</f>
        <v>16.487989979999998</v>
      </c>
      <c r="I41" s="612">
        <f>+'3-րդ խումբ'!I8</f>
        <v>17.00208825</v>
      </c>
      <c r="J41" s="612">
        <f>+'3-րդ խումբ'!J8</f>
        <v>18.545378880000001</v>
      </c>
      <c r="K41" s="612">
        <f>+'3-րդ խումբ'!K8</f>
        <v>53.202157679999999</v>
      </c>
      <c r="L41" s="391"/>
      <c r="M41" s="28"/>
      <c r="N41" s="28"/>
      <c r="O41" s="28"/>
    </row>
    <row r="42" spans="1:15" ht="51.75" outlineLevel="1">
      <c r="A42" s="58"/>
      <c r="B42" s="134" t="s">
        <v>65</v>
      </c>
      <c r="C42" s="355"/>
      <c r="D42" s="355"/>
      <c r="E42" s="612">
        <f>+'կերկոր 1'!E7</f>
        <v>1.3955937</v>
      </c>
      <c r="F42" s="612">
        <f>+'կերկոր 1'!F7</f>
        <v>1.6878516795</v>
      </c>
      <c r="G42" s="612">
        <f>+'կերկոր 1'!G7</f>
        <v>1.6760217900000001</v>
      </c>
      <c r="H42" s="612">
        <f>+'կերկոր 1'!H7</f>
        <v>1.739665569</v>
      </c>
      <c r="I42" s="612">
        <f>+'կերկոր 1'!I7</f>
        <v>1.7751552374999999</v>
      </c>
      <c r="J42" s="612">
        <f>+'կերկոր 1'!J7</f>
        <v>1.8979484639999999</v>
      </c>
      <c r="K42" s="612">
        <f>+'կերկոր 1'!K7</f>
        <v>4.9568792039999998</v>
      </c>
      <c r="L42" s="391"/>
      <c r="M42" s="28"/>
      <c r="N42" s="28"/>
      <c r="O42" s="28"/>
    </row>
    <row r="43" spans="1:15" ht="51.75" outlineLevel="1">
      <c r="A43" s="58"/>
      <c r="B43" s="134" t="s">
        <v>58</v>
      </c>
      <c r="C43" s="355"/>
      <c r="D43" s="355"/>
      <c r="E43" s="612">
        <f>+'կերկոր 2'!E8</f>
        <v>7.76868E-2</v>
      </c>
      <c r="F43" s="612">
        <f>+'կերկոր 2'!F8</f>
        <v>7.5055410000000003E-2</v>
      </c>
      <c r="G43" s="612">
        <f>+'կերկոր 2'!G8</f>
        <v>7.4849399999999996E-2</v>
      </c>
      <c r="H43" s="612">
        <f>+'կերկոր 2'!H8</f>
        <v>7.5994019999999995E-2</v>
      </c>
      <c r="I43" s="612">
        <f>+'կերկոր 2'!I8</f>
        <v>7.6612050000000001E-2</v>
      </c>
      <c r="J43" s="612">
        <f>+'կերկոր 2'!J8</f>
        <v>7.8720120000000005E-2</v>
      </c>
      <c r="K43" s="612">
        <f>+'կերկոր 2'!K8</f>
        <v>0.17863271999999999</v>
      </c>
      <c r="L43" s="391"/>
      <c r="M43" s="28"/>
      <c r="N43" s="28"/>
      <c r="O43" s="28"/>
    </row>
    <row r="44" spans="1:15">
      <c r="A44" s="269" t="s">
        <v>204</v>
      </c>
      <c r="B44" s="270"/>
      <c r="C44" s="271"/>
      <c r="D44" s="271"/>
      <c r="E44" s="271"/>
      <c r="F44" s="271"/>
      <c r="G44" s="409">
        <f>+G45/F45-1</f>
        <v>0</v>
      </c>
      <c r="H44" s="409">
        <f t="shared" ref="H44:K44" si="20">+H45/G45-1</f>
        <v>5.0000000000000044E-2</v>
      </c>
      <c r="I44" s="409">
        <f t="shared" si="20"/>
        <v>0</v>
      </c>
      <c r="J44" s="409">
        <f t="shared" si="20"/>
        <v>4.7619047619047672E-2</v>
      </c>
      <c r="K44" s="409">
        <f t="shared" si="20"/>
        <v>0.13636363636363646</v>
      </c>
      <c r="L44" s="391"/>
      <c r="M44" s="28"/>
      <c r="N44" s="28"/>
      <c r="O44" s="28"/>
    </row>
    <row r="45" spans="1:15">
      <c r="A45" s="270">
        <v>2.1</v>
      </c>
      <c r="B45" s="270" t="s">
        <v>22</v>
      </c>
      <c r="C45" s="272">
        <f>+C10</f>
        <v>18000</v>
      </c>
      <c r="D45" s="272">
        <f>+D10</f>
        <v>18000</v>
      </c>
      <c r="E45" s="272">
        <f>+E10-1000</f>
        <v>20000</v>
      </c>
      <c r="F45" s="272">
        <v>20000</v>
      </c>
      <c r="G45" s="272">
        <v>20000</v>
      </c>
      <c r="H45" s="272">
        <f t="shared" ref="H45:J45" si="21">G45+1000</f>
        <v>21000</v>
      </c>
      <c r="I45" s="272">
        <f>+H45</f>
        <v>21000</v>
      </c>
      <c r="J45" s="272">
        <f t="shared" si="21"/>
        <v>22000</v>
      </c>
      <c r="K45" s="272">
        <v>25000</v>
      </c>
      <c r="L45" s="391"/>
      <c r="M45" s="28"/>
      <c r="N45" s="28"/>
      <c r="O45" s="28"/>
    </row>
    <row r="46" spans="1:15" ht="34.5">
      <c r="A46" s="270">
        <v>2.2000000000000002</v>
      </c>
      <c r="B46" s="273" t="s">
        <v>59</v>
      </c>
      <c r="C46" s="272">
        <v>1600</v>
      </c>
      <c r="D46" s="272">
        <f>+C46</f>
        <v>1600</v>
      </c>
      <c r="E46" s="272">
        <v>1600</v>
      </c>
      <c r="F46" s="272">
        <v>1750</v>
      </c>
      <c r="G46" s="272">
        <f>+F46</f>
        <v>1750</v>
      </c>
      <c r="H46" s="272">
        <v>1800</v>
      </c>
      <c r="I46" s="272">
        <v>1900</v>
      </c>
      <c r="J46" s="272">
        <v>2100</v>
      </c>
      <c r="K46" s="272">
        <v>2700</v>
      </c>
      <c r="L46" s="391"/>
      <c r="M46" s="28"/>
      <c r="N46" s="28"/>
      <c r="O46" s="28"/>
    </row>
    <row r="47" spans="1:15" ht="86.25">
      <c r="A47" s="270">
        <v>2.2999999999999998</v>
      </c>
      <c r="B47" s="274" t="s">
        <v>66</v>
      </c>
      <c r="C47" s="272"/>
      <c r="D47" s="272"/>
      <c r="E47" s="410"/>
      <c r="F47" s="410"/>
      <c r="G47" s="410">
        <f t="shared" ref="G47" si="22">+G48/F48-1</f>
        <v>0</v>
      </c>
      <c r="H47" s="410">
        <f t="shared" ref="H47" si="23">+H48/G48-1</f>
        <v>5.9288537549407216E-2</v>
      </c>
      <c r="I47" s="410">
        <f t="shared" ref="I47" si="24">+I48/H48-1</f>
        <v>5.9701492537313383E-2</v>
      </c>
      <c r="J47" s="410">
        <f t="shared" ref="J47" si="25">+J48/I48-1</f>
        <v>5.9859154929577496E-2</v>
      </c>
      <c r="K47" s="410">
        <f t="shared" ref="K47" si="26">+K48/J48-1</f>
        <v>5.980066445182719E-2</v>
      </c>
      <c r="L47" s="391"/>
      <c r="M47" s="28"/>
      <c r="N47" s="28"/>
      <c r="O47" s="28"/>
    </row>
    <row r="48" spans="1:15">
      <c r="A48" s="270"/>
      <c r="B48" s="275" t="s">
        <v>33</v>
      </c>
      <c r="C48" s="276">
        <v>40000</v>
      </c>
      <c r="D48" s="272">
        <f>+C48+3000</f>
        <v>43000</v>
      </c>
      <c r="E48" s="272">
        <v>46000</v>
      </c>
      <c r="F48" s="272">
        <v>50600</v>
      </c>
      <c r="G48" s="272">
        <f>+F48</f>
        <v>50600</v>
      </c>
      <c r="H48" s="272">
        <f>+ROUND(G48*1.06, -2)</f>
        <v>53600</v>
      </c>
      <c r="I48" s="272">
        <f t="shared" ref="I48:K48" si="27">+ROUND(H48*1.06, -2)</f>
        <v>56800</v>
      </c>
      <c r="J48" s="272">
        <f t="shared" si="27"/>
        <v>60200</v>
      </c>
      <c r="K48" s="272">
        <f t="shared" si="27"/>
        <v>63800</v>
      </c>
      <c r="L48" s="391"/>
      <c r="M48" s="28"/>
      <c r="N48" s="28"/>
      <c r="O48" s="28"/>
    </row>
    <row r="49" spans="1:15">
      <c r="A49" s="270"/>
      <c r="B49" s="275" t="s">
        <v>34</v>
      </c>
      <c r="C49" s="276">
        <v>30000</v>
      </c>
      <c r="D49" s="272">
        <f t="shared" ref="D49:D50" si="28">+C49+3000</f>
        <v>33000</v>
      </c>
      <c r="E49" s="272">
        <v>36000</v>
      </c>
      <c r="F49" s="272">
        <v>41400</v>
      </c>
      <c r="G49" s="272">
        <f t="shared" ref="G49:G53" si="29">+F49</f>
        <v>41400</v>
      </c>
      <c r="H49" s="272">
        <f t="shared" ref="H49:H50" si="30">+ROUND(G49*1.06, -2)</f>
        <v>43900</v>
      </c>
      <c r="I49" s="272">
        <f t="shared" ref="I49:K49" si="31">+ROUND(H49*1.06, -2)</f>
        <v>46500</v>
      </c>
      <c r="J49" s="272">
        <f t="shared" si="31"/>
        <v>49300</v>
      </c>
      <c r="K49" s="272">
        <f t="shared" si="31"/>
        <v>52300</v>
      </c>
      <c r="L49" s="391"/>
      <c r="M49" s="28"/>
      <c r="N49" s="28"/>
      <c r="O49" s="28"/>
    </row>
    <row r="50" spans="1:15">
      <c r="A50" s="270"/>
      <c r="B50" s="275" t="s">
        <v>35</v>
      </c>
      <c r="C50" s="276">
        <v>27000</v>
      </c>
      <c r="D50" s="272">
        <f t="shared" si="28"/>
        <v>30000</v>
      </c>
      <c r="E50" s="272">
        <v>33000</v>
      </c>
      <c r="F50" s="272">
        <v>38000</v>
      </c>
      <c r="G50" s="272">
        <f t="shared" si="29"/>
        <v>38000</v>
      </c>
      <c r="H50" s="272">
        <f t="shared" si="30"/>
        <v>40300</v>
      </c>
      <c r="I50" s="272">
        <f t="shared" ref="I50:K50" si="32">+ROUND(H50*1.06, -2)</f>
        <v>42700</v>
      </c>
      <c r="J50" s="272">
        <f t="shared" si="32"/>
        <v>45300</v>
      </c>
      <c r="K50" s="272">
        <f t="shared" si="32"/>
        <v>48000</v>
      </c>
      <c r="L50" s="391"/>
      <c r="M50" s="28"/>
      <c r="N50" s="28"/>
      <c r="O50" s="28"/>
    </row>
    <row r="51" spans="1:15" ht="103.5">
      <c r="A51" s="270">
        <v>2.4</v>
      </c>
      <c r="B51" s="274" t="s">
        <v>106</v>
      </c>
      <c r="C51" s="272"/>
      <c r="D51" s="272"/>
      <c r="E51" s="272"/>
      <c r="F51" s="272"/>
      <c r="G51" s="272">
        <f t="shared" si="29"/>
        <v>0</v>
      </c>
      <c r="H51" s="272"/>
      <c r="I51" s="272"/>
      <c r="J51" s="272"/>
      <c r="K51" s="272"/>
      <c r="L51" s="391"/>
      <c r="M51" s="28"/>
      <c r="N51" s="28"/>
      <c r="O51" s="28"/>
    </row>
    <row r="52" spans="1:15" ht="51.75">
      <c r="A52" s="270"/>
      <c r="B52" s="277" t="s">
        <v>231</v>
      </c>
      <c r="C52" s="276">
        <v>27000</v>
      </c>
      <c r="D52" s="278">
        <f t="shared" ref="D52" si="33">+D50</f>
        <v>30000</v>
      </c>
      <c r="E52" s="278">
        <v>33000</v>
      </c>
      <c r="F52" s="278">
        <f>+F50</f>
        <v>38000</v>
      </c>
      <c r="G52" s="272">
        <f t="shared" si="29"/>
        <v>38000</v>
      </c>
      <c r="H52" s="278">
        <f t="shared" ref="H52:K52" si="34">+H50</f>
        <v>40300</v>
      </c>
      <c r="I52" s="278">
        <f t="shared" si="34"/>
        <v>42700</v>
      </c>
      <c r="J52" s="278">
        <f t="shared" si="34"/>
        <v>45300</v>
      </c>
      <c r="K52" s="278">
        <f t="shared" si="34"/>
        <v>48000</v>
      </c>
      <c r="L52" s="391"/>
      <c r="M52" s="28"/>
      <c r="N52" s="28"/>
      <c r="O52" s="28"/>
    </row>
    <row r="53" spans="1:15" ht="34.5">
      <c r="A53" s="270"/>
      <c r="B53" s="277" t="s">
        <v>232</v>
      </c>
      <c r="C53" s="276">
        <f>+C19</f>
        <v>90000</v>
      </c>
      <c r="D53" s="276">
        <f t="shared" ref="D53" si="35">+D19</f>
        <v>90000</v>
      </c>
      <c r="E53" s="276">
        <f t="shared" ref="E53:K53" si="36">+E19</f>
        <v>105000</v>
      </c>
      <c r="F53" s="276">
        <f t="shared" si="36"/>
        <v>106200</v>
      </c>
      <c r="G53" s="272">
        <f t="shared" si="29"/>
        <v>106200</v>
      </c>
      <c r="H53" s="276">
        <f t="shared" si="36"/>
        <v>107300</v>
      </c>
      <c r="I53" s="276">
        <f t="shared" si="36"/>
        <v>107300</v>
      </c>
      <c r="J53" s="276">
        <f t="shared" si="36"/>
        <v>108300</v>
      </c>
      <c r="K53" s="276">
        <f t="shared" si="36"/>
        <v>110600</v>
      </c>
      <c r="L53" s="391"/>
      <c r="M53" s="28"/>
      <c r="N53" s="28"/>
      <c r="O53" s="28"/>
    </row>
    <row r="54" spans="1:15" ht="34.5">
      <c r="A54" s="270">
        <v>2.5</v>
      </c>
      <c r="B54" s="277" t="s">
        <v>206</v>
      </c>
      <c r="C54" s="276">
        <v>77018.620746781904</v>
      </c>
      <c r="D54" s="278">
        <v>77509.88959296637</v>
      </c>
      <c r="E54" s="278">
        <f>+սպայական!AG15</f>
        <v>87593.206908190827</v>
      </c>
      <c r="F54" s="278">
        <f>+սպայական!AJ15</f>
        <v>91589.622311684288</v>
      </c>
      <c r="G54" s="278">
        <f>+սպայական!AQ15</f>
        <v>91139.833307213863</v>
      </c>
      <c r="H54" s="278">
        <f>+սպայական!AT15</f>
        <v>95213.941494913757</v>
      </c>
      <c r="I54" s="278">
        <f>+սպայական!BA15</f>
        <v>97525.244810346703</v>
      </c>
      <c r="J54" s="278">
        <f>+սպայական!BC15</f>
        <v>104126.505407021</v>
      </c>
      <c r="K54" s="278">
        <f>+սպայական!BJ15</f>
        <v>123388.4484566895</v>
      </c>
      <c r="L54" s="391"/>
      <c r="M54" s="28"/>
      <c r="N54" s="28"/>
      <c r="O54" s="28"/>
    </row>
    <row r="55" spans="1:15">
      <c r="A55" s="270">
        <v>2.6</v>
      </c>
      <c r="B55" s="277" t="s">
        <v>203</v>
      </c>
      <c r="C55" s="359">
        <v>32.579800799337711</v>
      </c>
      <c r="D55" s="358">
        <v>33.092538221273344</v>
      </c>
      <c r="E55" s="358">
        <f>+սպայական!AH15/1000000</f>
        <v>18.684682152000001</v>
      </c>
      <c r="F55" s="358">
        <f>+սպայական!AK15/1000000</f>
        <v>19.537165514550001</v>
      </c>
      <c r="G55" s="358">
        <f>+սպայական!AR15/1000000</f>
        <v>19.610127752700002</v>
      </c>
      <c r="H55" s="358">
        <f>+սպայական!AU15/1000000</f>
        <v>20.843179730514002</v>
      </c>
      <c r="I55" s="358">
        <f>+սպայական!BB15/1000000</f>
        <v>21.53591466</v>
      </c>
      <c r="J55" s="358">
        <f>+սպայական!BD15/1000000</f>
        <v>22.993631430000004</v>
      </c>
      <c r="K55" s="358">
        <f>+սպայական!BK15/1000000</f>
        <v>54.494261484000006</v>
      </c>
      <c r="L55" s="391"/>
      <c r="M55" s="28"/>
      <c r="N55" s="28"/>
      <c r="O55" s="28"/>
    </row>
    <row r="56" spans="1:15" s="244" customFormat="1">
      <c r="A56" s="347" t="s">
        <v>223</v>
      </c>
      <c r="B56" s="348"/>
      <c r="C56" s="346"/>
      <c r="D56" s="346"/>
      <c r="E56" s="346"/>
      <c r="F56" s="346"/>
      <c r="G56" s="346"/>
      <c r="H56" s="346"/>
      <c r="I56" s="346"/>
      <c r="J56" s="346"/>
      <c r="K56" s="346"/>
      <c r="L56" s="391"/>
    </row>
    <row r="57" spans="1:15" s="244" customFormat="1">
      <c r="A57" s="344"/>
      <c r="B57" s="345" t="s">
        <v>33</v>
      </c>
      <c r="C57" s="346">
        <f>+C48</f>
        <v>40000</v>
      </c>
      <c r="D57" s="346">
        <f t="shared" ref="D57:G57" si="37">+D48</f>
        <v>43000</v>
      </c>
      <c r="E57" s="346">
        <f t="shared" si="37"/>
        <v>46000</v>
      </c>
      <c r="F57" s="346">
        <f>+F48</f>
        <v>50600</v>
      </c>
      <c r="G57" s="346">
        <f t="shared" si="37"/>
        <v>50600</v>
      </c>
      <c r="H57" s="346">
        <f t="shared" ref="H57:K57" si="38">+H48</f>
        <v>53600</v>
      </c>
      <c r="I57" s="346">
        <f t="shared" si="38"/>
        <v>56800</v>
      </c>
      <c r="J57" s="346">
        <f t="shared" si="38"/>
        <v>60200</v>
      </c>
      <c r="K57" s="346">
        <f t="shared" si="38"/>
        <v>63800</v>
      </c>
      <c r="L57" s="391"/>
    </row>
    <row r="58" spans="1:15" s="244" customFormat="1">
      <c r="A58" s="344"/>
      <c r="B58" s="345" t="s">
        <v>34</v>
      </c>
      <c r="C58" s="346">
        <f t="shared" ref="C58:G59" si="39">+C49</f>
        <v>30000</v>
      </c>
      <c r="D58" s="346">
        <f t="shared" si="39"/>
        <v>33000</v>
      </c>
      <c r="E58" s="346">
        <f t="shared" si="39"/>
        <v>36000</v>
      </c>
      <c r="F58" s="346">
        <f t="shared" si="39"/>
        <v>41400</v>
      </c>
      <c r="G58" s="346">
        <f t="shared" si="39"/>
        <v>41400</v>
      </c>
      <c r="H58" s="346">
        <f t="shared" ref="H58:K58" si="40">+H49</f>
        <v>43900</v>
      </c>
      <c r="I58" s="346">
        <f t="shared" si="40"/>
        <v>46500</v>
      </c>
      <c r="J58" s="346">
        <f t="shared" si="40"/>
        <v>49300</v>
      </c>
      <c r="K58" s="346">
        <f t="shared" si="40"/>
        <v>52300</v>
      </c>
      <c r="L58" s="391"/>
    </row>
    <row r="59" spans="1:15" s="244" customFormat="1">
      <c r="A59" s="344"/>
      <c r="B59" s="345" t="s">
        <v>35</v>
      </c>
      <c r="C59" s="346">
        <f t="shared" si="39"/>
        <v>27000</v>
      </c>
      <c r="D59" s="346">
        <f t="shared" si="39"/>
        <v>30000</v>
      </c>
      <c r="E59" s="346">
        <f t="shared" si="39"/>
        <v>33000</v>
      </c>
      <c r="F59" s="346">
        <f t="shared" si="39"/>
        <v>38000</v>
      </c>
      <c r="G59" s="346">
        <f t="shared" si="39"/>
        <v>38000</v>
      </c>
      <c r="H59" s="346">
        <f t="shared" ref="H59:K59" si="41">+H50</f>
        <v>40300</v>
      </c>
      <c r="I59" s="346">
        <f t="shared" si="41"/>
        <v>42700</v>
      </c>
      <c r="J59" s="346">
        <f t="shared" si="41"/>
        <v>45300</v>
      </c>
      <c r="K59" s="346">
        <f t="shared" si="41"/>
        <v>48000</v>
      </c>
      <c r="L59" s="391"/>
    </row>
    <row r="60" spans="1:15" s="244" customFormat="1">
      <c r="A60" s="344">
        <v>3.1</v>
      </c>
      <c r="B60" s="345" t="s">
        <v>203</v>
      </c>
      <c r="C60" s="361">
        <v>0.57425970000000004</v>
      </c>
      <c r="D60" s="361">
        <v>0.61939999999999995</v>
      </c>
      <c r="E60" s="361">
        <f>+շարքային!P10/1000000</f>
        <v>0.31052999999999997</v>
      </c>
      <c r="F60" s="361">
        <f>+շարքային!Q10/1000000</f>
        <v>0.35613</v>
      </c>
      <c r="G60" s="361">
        <f>+շարքային!U10/1000000</f>
        <v>0.34128599999999998</v>
      </c>
      <c r="H60" s="361">
        <f>+շարքային!V10/1000000</f>
        <v>0.36188399999999998</v>
      </c>
      <c r="I60" s="361">
        <f>+շարքային!Z10/1000000</f>
        <v>0.352572</v>
      </c>
      <c r="J60" s="361">
        <f>+շարքային!AA10/1000000</f>
        <v>0.37385400000000002</v>
      </c>
      <c r="K60" s="361">
        <f>+շարքային!AD10/1000000</f>
        <v>0.72372599999999998</v>
      </c>
      <c r="L60" s="391"/>
    </row>
    <row r="61" spans="1:15">
      <c r="A61" s="56" t="s">
        <v>60</v>
      </c>
      <c r="B61" s="42"/>
      <c r="C61" s="228"/>
      <c r="D61" s="228"/>
      <c r="E61" s="228"/>
      <c r="F61" s="228"/>
      <c r="G61" s="228"/>
      <c r="H61" s="228"/>
      <c r="I61" s="228"/>
      <c r="J61" s="228"/>
      <c r="K61" s="228"/>
      <c r="L61" s="391"/>
      <c r="M61" s="28"/>
      <c r="N61" s="28"/>
      <c r="O61" s="28"/>
    </row>
    <row r="62" spans="1:15">
      <c r="A62" s="42">
        <v>4.0999999999999996</v>
      </c>
      <c r="B62" s="42" t="s">
        <v>22</v>
      </c>
      <c r="C62" s="232">
        <v>14000</v>
      </c>
      <c r="D62" s="232">
        <f t="shared" ref="D62:F63" si="42">+C62</f>
        <v>14000</v>
      </c>
      <c r="E62" s="232">
        <f t="shared" si="42"/>
        <v>14000</v>
      </c>
      <c r="F62" s="232">
        <f t="shared" si="42"/>
        <v>14000</v>
      </c>
      <c r="G62" s="232">
        <f t="shared" ref="G62:J63" si="43">+E62</f>
        <v>14000</v>
      </c>
      <c r="H62" s="232">
        <f t="shared" si="43"/>
        <v>14000</v>
      </c>
      <c r="I62" s="232">
        <f t="shared" si="43"/>
        <v>14000</v>
      </c>
      <c r="J62" s="232">
        <f t="shared" si="43"/>
        <v>14000</v>
      </c>
      <c r="K62" s="232">
        <f>+J62</f>
        <v>14000</v>
      </c>
      <c r="L62" s="391"/>
      <c r="M62" s="28"/>
      <c r="N62" s="28"/>
      <c r="O62" s="28"/>
    </row>
    <row r="63" spans="1:15" ht="34.5">
      <c r="A63" s="42">
        <v>4.2</v>
      </c>
      <c r="B63" s="57" t="s">
        <v>61</v>
      </c>
      <c r="C63" s="232">
        <v>5000</v>
      </c>
      <c r="D63" s="232">
        <f t="shared" si="42"/>
        <v>5000</v>
      </c>
      <c r="E63" s="232">
        <f t="shared" si="42"/>
        <v>5000</v>
      </c>
      <c r="F63" s="232">
        <f t="shared" si="42"/>
        <v>5000</v>
      </c>
      <c r="G63" s="232">
        <f t="shared" si="43"/>
        <v>5000</v>
      </c>
      <c r="H63" s="232">
        <f t="shared" si="43"/>
        <v>5000</v>
      </c>
      <c r="I63" s="232">
        <f t="shared" si="43"/>
        <v>5000</v>
      </c>
      <c r="J63" s="232">
        <f t="shared" si="43"/>
        <v>5000</v>
      </c>
      <c r="K63" s="232">
        <f>+J63</f>
        <v>5000</v>
      </c>
      <c r="L63" s="391"/>
      <c r="M63" s="28"/>
      <c r="N63" s="28"/>
      <c r="O63" s="28"/>
    </row>
    <row r="64" spans="1:15">
      <c r="A64" s="42">
        <v>4.3</v>
      </c>
      <c r="B64" s="57" t="s">
        <v>230</v>
      </c>
      <c r="C64" s="232">
        <v>343906.60310734465</v>
      </c>
      <c r="D64" s="232">
        <v>343598.6493150685</v>
      </c>
      <c r="E64" s="232">
        <f>+սոցերաշխիք!W28</f>
        <v>348804.36781609186</v>
      </c>
      <c r="F64" s="232">
        <f>+E64</f>
        <v>348804.36781609186</v>
      </c>
      <c r="G64" s="232">
        <f t="shared" ref="G64:K64" si="44">+F64</f>
        <v>348804.36781609186</v>
      </c>
      <c r="H64" s="232">
        <f t="shared" si="44"/>
        <v>348804.36781609186</v>
      </c>
      <c r="I64" s="232">
        <f t="shared" si="44"/>
        <v>348804.36781609186</v>
      </c>
      <c r="J64" s="232">
        <f t="shared" si="44"/>
        <v>348804.36781609186</v>
      </c>
      <c r="K64" s="232">
        <f t="shared" si="44"/>
        <v>348804.36781609186</v>
      </c>
      <c r="L64" s="391"/>
      <c r="M64" s="28"/>
      <c r="N64" s="28"/>
      <c r="O64" s="28"/>
    </row>
    <row r="65" spans="1:15">
      <c r="A65" s="42">
        <v>4.4000000000000004</v>
      </c>
      <c r="B65" s="57" t="s">
        <v>203</v>
      </c>
      <c r="C65" s="357">
        <v>2.9218305000000004</v>
      </c>
      <c r="D65" s="357">
        <v>3.0099241679999995</v>
      </c>
      <c r="E65" s="372">
        <f>+սոցերաշխիք!X28/2/1000000</f>
        <v>1.6386829199999999</v>
      </c>
      <c r="F65" s="372">
        <f>+E65</f>
        <v>1.6386829199999999</v>
      </c>
      <c r="G65" s="372">
        <f>+սոցերաշխիք!AE28/2/1000000</f>
        <v>1.7085865200000001</v>
      </c>
      <c r="H65" s="357">
        <f>+G65</f>
        <v>1.7085865200000001</v>
      </c>
      <c r="I65" s="357">
        <f>+սոցերաշխիք!AL28/2/1000</f>
        <v>1732.20075</v>
      </c>
      <c r="J65" s="357">
        <f>+I65</f>
        <v>1732.20075</v>
      </c>
      <c r="K65" s="357">
        <f>+սոցերաշխիք!AS28/1000000</f>
        <v>3.565827852</v>
      </c>
      <c r="L65" s="391"/>
      <c r="M65" s="28"/>
      <c r="N65" s="28"/>
      <c r="O65" s="28"/>
    </row>
    <row r="66" spans="1:15">
      <c r="A66" s="136" t="s">
        <v>216</v>
      </c>
      <c r="B66" s="247"/>
      <c r="C66" s="240"/>
      <c r="D66" s="240"/>
      <c r="E66" s="240"/>
      <c r="F66" s="240"/>
      <c r="G66" s="240"/>
      <c r="H66" s="240"/>
      <c r="I66" s="240"/>
      <c r="J66" s="240"/>
      <c r="K66" s="240"/>
      <c r="L66" s="391"/>
      <c r="M66" s="28"/>
      <c r="N66" s="28"/>
      <c r="O66" s="28"/>
    </row>
    <row r="67" spans="1:15">
      <c r="A67" s="248">
        <v>5.0999999999999996</v>
      </c>
      <c r="B67" s="137" t="s">
        <v>51</v>
      </c>
      <c r="C67" s="240">
        <f>+C11</f>
        <v>26500</v>
      </c>
      <c r="D67" s="240">
        <f>+D11</f>
        <v>28600</v>
      </c>
      <c r="E67" s="240">
        <f t="shared" ref="E67" si="45">+E11</f>
        <v>31600</v>
      </c>
      <c r="F67" s="240">
        <f>+F10</f>
        <v>36000</v>
      </c>
      <c r="G67" s="240">
        <f t="shared" ref="G67:K67" si="46">+G10</f>
        <v>36000</v>
      </c>
      <c r="H67" s="240">
        <f t="shared" si="46"/>
        <v>37000</v>
      </c>
      <c r="I67" s="240">
        <f t="shared" si="46"/>
        <v>37000</v>
      </c>
      <c r="J67" s="240">
        <f t="shared" si="46"/>
        <v>38000</v>
      </c>
      <c r="K67" s="240">
        <f t="shared" si="46"/>
        <v>39500</v>
      </c>
      <c r="L67" s="391"/>
      <c r="M67" s="28"/>
      <c r="N67" s="28"/>
      <c r="O67" s="28"/>
    </row>
    <row r="68" spans="1:15">
      <c r="A68" s="248">
        <v>5.2</v>
      </c>
      <c r="B68" s="137" t="s">
        <v>52</v>
      </c>
      <c r="C68" s="240">
        <f>+C11</f>
        <v>26500</v>
      </c>
      <c r="D68" s="240">
        <v>37000</v>
      </c>
      <c r="E68" s="240">
        <v>39000</v>
      </c>
      <c r="F68" s="240">
        <f>+E68+2000</f>
        <v>41000</v>
      </c>
      <c r="G68" s="240">
        <f>+F68</f>
        <v>41000</v>
      </c>
      <c r="H68" s="240">
        <f>+G68+1000</f>
        <v>42000</v>
      </c>
      <c r="I68" s="240">
        <f t="shared" ref="I68:I70" si="47">+H68</f>
        <v>42000</v>
      </c>
      <c r="J68" s="240">
        <f>+I68+1000</f>
        <v>43000</v>
      </c>
      <c r="K68" s="240">
        <f t="shared" ref="K68" si="48">K69</f>
        <v>43500</v>
      </c>
      <c r="L68" s="391"/>
      <c r="M68" s="28"/>
      <c r="N68" s="28"/>
      <c r="O68" s="28"/>
    </row>
    <row r="69" spans="1:15">
      <c r="A69" s="137"/>
      <c r="B69" s="137" t="s">
        <v>33</v>
      </c>
      <c r="C69" s="240">
        <f>+C11</f>
        <v>26500</v>
      </c>
      <c r="D69" s="240">
        <f t="shared" ref="D69:E69" si="49">+D67</f>
        <v>28600</v>
      </c>
      <c r="E69" s="240">
        <f t="shared" si="49"/>
        <v>31600</v>
      </c>
      <c r="F69" s="240">
        <f>+F67*1.1</f>
        <v>39600</v>
      </c>
      <c r="G69" s="240">
        <f t="shared" ref="G69:G72" si="50">+F69</f>
        <v>39600</v>
      </c>
      <c r="H69" s="240">
        <f t="shared" ref="H69:J71" si="51">+G69+1000</f>
        <v>40600</v>
      </c>
      <c r="I69" s="240">
        <f t="shared" si="47"/>
        <v>40600</v>
      </c>
      <c r="J69" s="240">
        <f t="shared" si="51"/>
        <v>41600</v>
      </c>
      <c r="K69" s="240">
        <f t="shared" ref="K69" si="52">ROUND(K67*1.1,-2)</f>
        <v>43500</v>
      </c>
      <c r="L69" s="391"/>
      <c r="M69" s="390">
        <f>F69/$F$67</f>
        <v>1.1000000000000001</v>
      </c>
      <c r="N69" s="28"/>
      <c r="O69" s="28"/>
    </row>
    <row r="70" spans="1:15">
      <c r="A70" s="137"/>
      <c r="B70" s="137" t="s">
        <v>34</v>
      </c>
      <c r="C70" s="240">
        <f>+C69</f>
        <v>26500</v>
      </c>
      <c r="D70" s="240">
        <f t="shared" ref="D70:D71" si="53">+D69</f>
        <v>28600</v>
      </c>
      <c r="E70" s="240">
        <f t="shared" ref="E70" si="54">+E67</f>
        <v>31600</v>
      </c>
      <c r="F70" s="240">
        <f>+F67*1.05</f>
        <v>37800</v>
      </c>
      <c r="G70" s="240">
        <f t="shared" si="50"/>
        <v>37800</v>
      </c>
      <c r="H70" s="240">
        <f t="shared" si="51"/>
        <v>38800</v>
      </c>
      <c r="I70" s="240">
        <f t="shared" si="47"/>
        <v>38800</v>
      </c>
      <c r="J70" s="240">
        <f t="shared" si="51"/>
        <v>39800</v>
      </c>
      <c r="K70" s="240">
        <f t="shared" ref="K70" si="55">ROUND(K67*1.05,-2)</f>
        <v>41500</v>
      </c>
      <c r="L70" s="391"/>
      <c r="M70" s="390">
        <f>F70/$F$67</f>
        <v>1.05</v>
      </c>
      <c r="N70" s="28"/>
      <c r="O70" s="28"/>
    </row>
    <row r="71" spans="1:15">
      <c r="A71" s="60"/>
      <c r="B71" s="137" t="s">
        <v>35</v>
      </c>
      <c r="C71" s="240">
        <f>+C11</f>
        <v>26500</v>
      </c>
      <c r="D71" s="240">
        <f t="shared" si="53"/>
        <v>28600</v>
      </c>
      <c r="E71" s="240">
        <f t="shared" ref="E71" si="56">+E11</f>
        <v>31600</v>
      </c>
      <c r="F71" s="240">
        <f>+F67</f>
        <v>36000</v>
      </c>
      <c r="G71" s="240">
        <f t="shared" si="50"/>
        <v>36000</v>
      </c>
      <c r="H71" s="240">
        <f t="shared" si="51"/>
        <v>37000</v>
      </c>
      <c r="I71" s="240">
        <f>+H71</f>
        <v>37000</v>
      </c>
      <c r="J71" s="240">
        <f t="shared" si="51"/>
        <v>38000</v>
      </c>
      <c r="K71" s="240">
        <f t="shared" ref="K71" si="57">+K67</f>
        <v>39500</v>
      </c>
      <c r="L71" s="391"/>
      <c r="M71" s="390">
        <f>F71/$F$67</f>
        <v>1</v>
      </c>
      <c r="N71" s="28"/>
      <c r="O71" s="28"/>
    </row>
    <row r="72" spans="1:15" ht="51.75">
      <c r="A72" s="60">
        <v>5.3</v>
      </c>
      <c r="B72" s="138" t="s">
        <v>67</v>
      </c>
      <c r="C72" s="240">
        <f t="shared" ref="C72:E72" si="58">+C11</f>
        <v>26500</v>
      </c>
      <c r="D72" s="240">
        <f t="shared" si="58"/>
        <v>28600</v>
      </c>
      <c r="E72" s="240">
        <f t="shared" si="58"/>
        <v>31600</v>
      </c>
      <c r="F72" s="240">
        <f>+F67</f>
        <v>36000</v>
      </c>
      <c r="G72" s="240">
        <f t="shared" si="50"/>
        <v>36000</v>
      </c>
      <c r="H72" s="240">
        <f t="shared" ref="H72:K72" si="59">+H67</f>
        <v>37000</v>
      </c>
      <c r="I72" s="240">
        <f t="shared" si="59"/>
        <v>37000</v>
      </c>
      <c r="J72" s="240">
        <f t="shared" ref="J72" si="60">+J67</f>
        <v>38000</v>
      </c>
      <c r="K72" s="240">
        <f t="shared" si="59"/>
        <v>39500</v>
      </c>
      <c r="L72" s="391"/>
      <c r="M72" s="28"/>
      <c r="N72" s="28"/>
      <c r="O72" s="28"/>
    </row>
    <row r="73" spans="1:15" ht="51.75">
      <c r="A73" s="60">
        <v>5.4</v>
      </c>
      <c r="B73" s="138" t="s">
        <v>58</v>
      </c>
      <c r="C73" s="240">
        <f>+C19</f>
        <v>90000</v>
      </c>
      <c r="D73" s="240">
        <f t="shared" ref="D73" si="61">+D19</f>
        <v>90000</v>
      </c>
      <c r="E73" s="240">
        <f t="shared" ref="E73:K73" si="62">+E19</f>
        <v>105000</v>
      </c>
      <c r="F73" s="240">
        <f t="shared" si="62"/>
        <v>106200</v>
      </c>
      <c r="G73" s="240">
        <f t="shared" si="62"/>
        <v>106200</v>
      </c>
      <c r="H73" s="240">
        <f t="shared" si="62"/>
        <v>107300</v>
      </c>
      <c r="I73" s="240">
        <f t="shared" si="62"/>
        <v>107300</v>
      </c>
      <c r="J73" s="240">
        <f t="shared" si="62"/>
        <v>108300</v>
      </c>
      <c r="K73" s="240">
        <f t="shared" si="62"/>
        <v>110600</v>
      </c>
      <c r="L73" s="391"/>
      <c r="M73" s="28"/>
      <c r="N73" s="28"/>
      <c r="O73" s="28"/>
    </row>
    <row r="74" spans="1:15">
      <c r="A74" s="60">
        <v>5.5</v>
      </c>
      <c r="B74" s="138" t="s">
        <v>203</v>
      </c>
      <c r="C74" s="360">
        <v>26.307560190000004</v>
      </c>
      <c r="D74" s="360">
        <v>29.535000029759999</v>
      </c>
      <c r="E74" s="360">
        <f>+նպաստ!M15/1000000</f>
        <v>17.262607199999998</v>
      </c>
      <c r="F74" s="360">
        <f>+նպաստ!N15/1000000</f>
        <v>19.743121200000001</v>
      </c>
      <c r="G74" s="360">
        <f>+նպաստ!O15/1000000</f>
        <v>19.743121200000001</v>
      </c>
      <c r="H74" s="360">
        <f>+նպաստ!P15/1000000</f>
        <v>20.3362698</v>
      </c>
      <c r="I74" s="360">
        <f>+նպաստ!Q15/1000000</f>
        <v>20.3362698</v>
      </c>
      <c r="J74" s="360">
        <f>+նպաստ!R15/1000000</f>
        <v>20.938958399999997</v>
      </c>
      <c r="K74" s="360">
        <f>+նպաստ!S15/1000000</f>
        <v>43.298047200000006</v>
      </c>
      <c r="L74" s="391"/>
      <c r="M74" s="28"/>
      <c r="N74" s="28"/>
      <c r="O74" s="28"/>
    </row>
    <row r="75" spans="1:15">
      <c r="B75" s="132"/>
      <c r="C75" s="233"/>
      <c r="D75" s="233"/>
      <c r="E75" s="233"/>
      <c r="F75" s="233"/>
      <c r="G75" s="233"/>
      <c r="H75" s="233"/>
      <c r="I75" s="233"/>
      <c r="J75" s="233"/>
      <c r="K75" s="233"/>
      <c r="L75" s="233"/>
      <c r="M75" s="385"/>
      <c r="N75" s="28"/>
      <c r="O75" s="28"/>
    </row>
    <row r="76" spans="1:15">
      <c r="B76" s="132"/>
      <c r="C76" s="233"/>
      <c r="D76" s="233"/>
      <c r="E76" s="233"/>
      <c r="F76" s="233"/>
      <c r="G76" s="233"/>
      <c r="H76" s="233"/>
      <c r="I76" s="233"/>
      <c r="J76" s="233"/>
      <c r="K76" s="233"/>
      <c r="L76" s="385"/>
      <c r="M76" s="28"/>
      <c r="N76" s="28"/>
      <c r="O76" s="28"/>
    </row>
    <row r="77" spans="1:15" s="353" customFormat="1" ht="27">
      <c r="A77" s="349"/>
      <c r="B77" s="350" t="s">
        <v>56</v>
      </c>
      <c r="C77" s="351">
        <v>2021</v>
      </c>
      <c r="D77" s="351">
        <v>2022</v>
      </c>
      <c r="E77" s="352" t="s">
        <v>217</v>
      </c>
      <c r="F77" s="352" t="s">
        <v>218</v>
      </c>
      <c r="G77" s="352" t="s">
        <v>219</v>
      </c>
      <c r="H77" s="352" t="s">
        <v>220</v>
      </c>
      <c r="I77" s="352" t="s">
        <v>221</v>
      </c>
      <c r="J77" s="352" t="s">
        <v>222</v>
      </c>
      <c r="K77" s="351">
        <v>2026</v>
      </c>
      <c r="L77" s="385"/>
    </row>
    <row r="78" spans="1:15" s="353" customFormat="1">
      <c r="A78" s="297" t="s">
        <v>234</v>
      </c>
      <c r="B78" s="349"/>
      <c r="C78" s="357">
        <f t="shared" ref="C78" si="63">SUM(C79:C83)</f>
        <v>300.99518692334635</v>
      </c>
      <c r="D78" s="357">
        <f t="shared" ref="D78" si="64">SUM(D79:D83)</f>
        <v>306.91600028098009</v>
      </c>
      <c r="E78" s="357">
        <f t="shared" ref="E78:J78" si="65">SUM(E79:E83)</f>
        <v>166.56874802862001</v>
      </c>
      <c r="F78" s="357">
        <f t="shared" si="65"/>
        <v>181.73588985453361</v>
      </c>
      <c r="G78" s="357">
        <f t="shared" si="65"/>
        <v>180.07067741733985</v>
      </c>
      <c r="H78" s="357">
        <f t="shared" si="65"/>
        <v>188.37121594067253</v>
      </c>
      <c r="I78" s="357">
        <f t="shared" si="65"/>
        <v>1923.3171866508601</v>
      </c>
      <c r="J78" s="357">
        <f t="shared" si="65"/>
        <v>1940.9232828296401</v>
      </c>
      <c r="K78" s="357">
        <f>SUM(K79:K83)</f>
        <v>603.43728820800015</v>
      </c>
      <c r="L78" s="385"/>
    </row>
    <row r="79" spans="1:15">
      <c r="A79" s="42">
        <v>1</v>
      </c>
      <c r="B79" s="242" t="s">
        <v>226</v>
      </c>
      <c r="C79" s="357">
        <f t="shared" ref="C79:D79" si="66">+C36</f>
        <v>238.61173573400862</v>
      </c>
      <c r="D79" s="357">
        <f t="shared" si="66"/>
        <v>240.65913786194673</v>
      </c>
      <c r="E79" s="610">
        <f t="shared" ref="E79:K79" si="67">+E36</f>
        <v>128.67224575662001</v>
      </c>
      <c r="F79" s="610">
        <f t="shared" si="67"/>
        <v>140.46079021998361</v>
      </c>
      <c r="G79" s="610">
        <f t="shared" si="67"/>
        <v>138.66755594463984</v>
      </c>
      <c r="H79" s="610">
        <f t="shared" si="67"/>
        <v>145.12129589015851</v>
      </c>
      <c r="I79" s="610">
        <f t="shared" si="67"/>
        <v>148.89168019086</v>
      </c>
      <c r="J79" s="610">
        <f t="shared" si="67"/>
        <v>164.41608899964004</v>
      </c>
      <c r="K79" s="610">
        <f t="shared" si="67"/>
        <v>501.35542567200008</v>
      </c>
      <c r="L79" s="385"/>
      <c r="M79" s="28"/>
      <c r="N79" s="28"/>
      <c r="O79" s="28"/>
    </row>
    <row r="80" spans="1:15">
      <c r="A80" s="42">
        <v>2</v>
      </c>
      <c r="B80" s="242" t="s">
        <v>227</v>
      </c>
      <c r="C80" s="357">
        <f t="shared" ref="C80:D80" si="68">+C55</f>
        <v>32.579800799337711</v>
      </c>
      <c r="D80" s="357">
        <f t="shared" si="68"/>
        <v>33.092538221273344</v>
      </c>
      <c r="E80" s="357">
        <f t="shared" ref="E80:K80" si="69">+E55</f>
        <v>18.684682152000001</v>
      </c>
      <c r="F80" s="357">
        <f t="shared" si="69"/>
        <v>19.537165514550001</v>
      </c>
      <c r="G80" s="357">
        <f t="shared" si="69"/>
        <v>19.610127752700002</v>
      </c>
      <c r="H80" s="357">
        <f t="shared" si="69"/>
        <v>20.843179730514002</v>
      </c>
      <c r="I80" s="357">
        <f t="shared" si="69"/>
        <v>21.53591466</v>
      </c>
      <c r="J80" s="357">
        <f t="shared" si="69"/>
        <v>22.993631430000004</v>
      </c>
      <c r="K80" s="357">
        <f t="shared" si="69"/>
        <v>54.494261484000006</v>
      </c>
      <c r="L80" s="385"/>
      <c r="M80" s="28"/>
      <c r="N80" s="28"/>
      <c r="O80" s="28"/>
    </row>
    <row r="81" spans="1:15" ht="51.75">
      <c r="A81" s="42">
        <v>3</v>
      </c>
      <c r="B81" s="302" t="s">
        <v>215</v>
      </c>
      <c r="C81" s="357">
        <f t="shared" ref="C81:D81" si="70">+C60</f>
        <v>0.57425970000000004</v>
      </c>
      <c r="D81" s="357">
        <f t="shared" si="70"/>
        <v>0.61939999999999995</v>
      </c>
      <c r="E81" s="357">
        <f t="shared" ref="E81:K81" si="71">+E60</f>
        <v>0.31052999999999997</v>
      </c>
      <c r="F81" s="357">
        <f t="shared" si="71"/>
        <v>0.35613</v>
      </c>
      <c r="G81" s="357">
        <f t="shared" si="71"/>
        <v>0.34128599999999998</v>
      </c>
      <c r="H81" s="357">
        <f t="shared" si="71"/>
        <v>0.36188399999999998</v>
      </c>
      <c r="I81" s="357">
        <f t="shared" si="71"/>
        <v>0.352572</v>
      </c>
      <c r="J81" s="357">
        <f t="shared" si="71"/>
        <v>0.37385400000000002</v>
      </c>
      <c r="K81" s="357">
        <f t="shared" si="71"/>
        <v>0.72372599999999998</v>
      </c>
      <c r="L81" s="385"/>
      <c r="M81" s="28"/>
      <c r="N81" s="28"/>
      <c r="O81" s="28"/>
    </row>
    <row r="82" spans="1:15">
      <c r="A82" s="42">
        <v>4</v>
      </c>
      <c r="B82" s="242" t="s">
        <v>228</v>
      </c>
      <c r="C82" s="357">
        <f t="shared" ref="C82:D82" si="72">+C65</f>
        <v>2.9218305000000004</v>
      </c>
      <c r="D82" s="357">
        <f t="shared" si="72"/>
        <v>3.0099241679999995</v>
      </c>
      <c r="E82" s="357">
        <f t="shared" ref="E82:K82" si="73">+E65</f>
        <v>1.6386829199999999</v>
      </c>
      <c r="F82" s="357">
        <f t="shared" si="73"/>
        <v>1.6386829199999999</v>
      </c>
      <c r="G82" s="357">
        <f t="shared" si="73"/>
        <v>1.7085865200000001</v>
      </c>
      <c r="H82" s="357">
        <f t="shared" si="73"/>
        <v>1.7085865200000001</v>
      </c>
      <c r="I82" s="357">
        <f t="shared" si="73"/>
        <v>1732.20075</v>
      </c>
      <c r="J82" s="357">
        <f t="shared" si="73"/>
        <v>1732.20075</v>
      </c>
      <c r="K82" s="357">
        <f t="shared" si="73"/>
        <v>3.565827852</v>
      </c>
      <c r="L82" s="385"/>
      <c r="M82" s="28"/>
      <c r="N82" s="28"/>
      <c r="O82" s="28"/>
    </row>
    <row r="83" spans="1:15">
      <c r="A83" s="42">
        <v>5</v>
      </c>
      <c r="B83" s="242" t="s">
        <v>229</v>
      </c>
      <c r="C83" s="357">
        <f t="shared" ref="C83:D83" si="74">+C74</f>
        <v>26.307560190000004</v>
      </c>
      <c r="D83" s="357">
        <f t="shared" si="74"/>
        <v>29.535000029759999</v>
      </c>
      <c r="E83" s="357">
        <f t="shared" ref="E83:K83" si="75">+E74</f>
        <v>17.262607199999998</v>
      </c>
      <c r="F83" s="357">
        <f t="shared" si="75"/>
        <v>19.743121200000001</v>
      </c>
      <c r="G83" s="357">
        <f t="shared" si="75"/>
        <v>19.743121200000001</v>
      </c>
      <c r="H83" s="357">
        <f t="shared" si="75"/>
        <v>20.3362698</v>
      </c>
      <c r="I83" s="357">
        <f t="shared" si="75"/>
        <v>20.3362698</v>
      </c>
      <c r="J83" s="357">
        <f t="shared" si="75"/>
        <v>20.938958399999997</v>
      </c>
      <c r="K83" s="357">
        <f t="shared" si="75"/>
        <v>43.298047200000006</v>
      </c>
      <c r="L83" s="385"/>
      <c r="M83" s="28"/>
      <c r="N83" s="28"/>
      <c r="O83" s="28"/>
    </row>
    <row r="84" spans="1:15">
      <c r="A84" s="411"/>
      <c r="B84" s="412"/>
      <c r="C84" s="413"/>
      <c r="D84" s="413"/>
      <c r="E84" s="413"/>
      <c r="F84" s="413"/>
      <c r="G84" s="413"/>
      <c r="H84" s="413"/>
      <c r="I84" s="413"/>
      <c r="J84" s="413"/>
      <c r="K84" s="413"/>
      <c r="L84" s="385"/>
      <c r="M84" s="28"/>
      <c r="N84" s="28"/>
      <c r="O84" s="28"/>
    </row>
    <row r="85" spans="1:15">
      <c r="A85" s="411"/>
      <c r="B85" s="412"/>
      <c r="C85" s="413"/>
      <c r="D85" s="413"/>
      <c r="E85" s="394"/>
      <c r="F85" s="413"/>
      <c r="G85" s="413"/>
      <c r="H85" s="413"/>
      <c r="I85" s="413"/>
      <c r="J85" s="413"/>
      <c r="K85" s="413"/>
      <c r="L85" s="385"/>
      <c r="M85" s="28"/>
      <c r="N85" s="28"/>
      <c r="O85" s="28"/>
    </row>
    <row r="86" spans="1:15">
      <c r="B86" s="132"/>
      <c r="C86" s="233"/>
      <c r="D86" s="233"/>
      <c r="E86" s="233"/>
      <c r="F86" s="394"/>
      <c r="G86" s="413"/>
      <c r="H86" s="413"/>
      <c r="I86" s="413"/>
      <c r="J86" s="415"/>
      <c r="K86" s="233"/>
      <c r="L86" s="233"/>
      <c r="M86" s="357">
        <v>36.271999999999998</v>
      </c>
      <c r="N86" s="28"/>
      <c r="O86" s="28"/>
    </row>
    <row r="87" spans="1:15">
      <c r="B87" s="132"/>
      <c r="C87" s="233"/>
      <c r="D87" s="233"/>
      <c r="E87" s="233"/>
      <c r="F87" s="233"/>
      <c r="G87" s="414"/>
      <c r="H87" s="414"/>
      <c r="I87" s="414"/>
      <c r="J87" s="415"/>
      <c r="K87" s="233"/>
      <c r="L87" s="233"/>
      <c r="M87" s="233"/>
      <c r="N87" s="413"/>
      <c r="O87" s="28"/>
    </row>
    <row r="88" spans="1:15" s="353" customFormat="1">
      <c r="A88" s="349"/>
      <c r="B88" s="350" t="s">
        <v>56</v>
      </c>
      <c r="C88" s="351">
        <v>2021</v>
      </c>
      <c r="D88" s="351">
        <v>2022</v>
      </c>
      <c r="E88" s="351" t="s">
        <v>188</v>
      </c>
      <c r="F88" s="352">
        <v>2023</v>
      </c>
      <c r="G88" s="352">
        <v>2024</v>
      </c>
      <c r="H88" s="352">
        <v>2025</v>
      </c>
      <c r="I88" s="352">
        <v>2026</v>
      </c>
      <c r="J88" s="415"/>
      <c r="K88" s="233"/>
      <c r="L88" s="233"/>
      <c r="M88" s="352">
        <v>2029</v>
      </c>
      <c r="N88" s="385"/>
    </row>
    <row r="89" spans="1:15">
      <c r="A89" s="297" t="s">
        <v>235</v>
      </c>
      <c r="B89" s="349"/>
      <c r="C89" s="357">
        <f>SUM(C90:C94)</f>
        <v>300.99518692334635</v>
      </c>
      <c r="D89" s="357">
        <f t="shared" ref="D89:I89" si="76">SUM(D90:D94)</f>
        <v>306.91600028098009</v>
      </c>
      <c r="E89" s="357">
        <f>SUM(E90:E94)</f>
        <v>341.61426</v>
      </c>
      <c r="F89" s="357">
        <f t="shared" si="76"/>
        <v>348.30463788315365</v>
      </c>
      <c r="G89" s="357">
        <f>SUM(G90:G94)</f>
        <v>368.44189335801241</v>
      </c>
      <c r="H89" s="357">
        <f t="shared" si="76"/>
        <v>3864.2404694805</v>
      </c>
      <c r="I89" s="357">
        <f t="shared" si="76"/>
        <v>603.43728820800015</v>
      </c>
      <c r="J89" s="415"/>
      <c r="K89" s="233"/>
      <c r="L89" s="233"/>
      <c r="M89" s="356">
        <f>SUM(M90:M94)</f>
        <v>0</v>
      </c>
      <c r="N89" s="403">
        <f t="shared" ref="N89:N94" si="77">+E89/1000000</f>
        <v>3.4161426E-4</v>
      </c>
      <c r="O89" s="28"/>
    </row>
    <row r="90" spans="1:15">
      <c r="A90" s="42">
        <v>1</v>
      </c>
      <c r="B90" s="242" t="s">
        <v>226</v>
      </c>
      <c r="C90" s="357">
        <f t="shared" ref="C90:D94" si="78">+C79</f>
        <v>238.61173573400862</v>
      </c>
      <c r="D90" s="357">
        <f t="shared" si="78"/>
        <v>240.65913786194673</v>
      </c>
      <c r="E90" s="357">
        <v>267.19639999999998</v>
      </c>
      <c r="F90" s="357">
        <f>+E79+F79</f>
        <v>269.13303597660365</v>
      </c>
      <c r="G90" s="357">
        <f>+G79+H79</f>
        <v>283.78885183479838</v>
      </c>
      <c r="H90" s="357">
        <f>+I79+J79</f>
        <v>313.30776919050004</v>
      </c>
      <c r="I90" s="357">
        <f>+K79</f>
        <v>501.35542567200008</v>
      </c>
      <c r="J90" s="415"/>
      <c r="K90" s="233"/>
      <c r="L90" s="233"/>
      <c r="M90" s="233"/>
      <c r="N90" s="403">
        <f t="shared" si="77"/>
        <v>2.6719640000000001E-4</v>
      </c>
      <c r="O90" s="28"/>
    </row>
    <row r="91" spans="1:15">
      <c r="A91" s="42">
        <v>2</v>
      </c>
      <c r="B91" s="242" t="s">
        <v>227</v>
      </c>
      <c r="C91" s="357">
        <f t="shared" si="78"/>
        <v>32.579800799337711</v>
      </c>
      <c r="D91" s="357">
        <f t="shared" si="78"/>
        <v>33.092538221273344</v>
      </c>
      <c r="E91" s="357">
        <v>36.271999999999998</v>
      </c>
      <c r="F91" s="357">
        <f>+E80+F80</f>
        <v>38.221847666550005</v>
      </c>
      <c r="G91" s="357">
        <f>+G80+H80</f>
        <v>40.453307483214004</v>
      </c>
      <c r="H91" s="357">
        <f>+I80+J80</f>
        <v>44.529546090000004</v>
      </c>
      <c r="I91" s="357">
        <f>+K80</f>
        <v>54.494261484000006</v>
      </c>
      <c r="J91" s="415"/>
      <c r="K91" s="233"/>
      <c r="L91" s="233"/>
      <c r="M91" s="233"/>
      <c r="N91" s="403">
        <f t="shared" si="77"/>
        <v>3.6272000000000001E-5</v>
      </c>
      <c r="O91" s="28"/>
    </row>
    <row r="92" spans="1:15" ht="51.75">
      <c r="A92" s="42">
        <v>3</v>
      </c>
      <c r="B92" s="302" t="s">
        <v>215</v>
      </c>
      <c r="C92" s="357">
        <f t="shared" si="78"/>
        <v>0.57425970000000004</v>
      </c>
      <c r="D92" s="357">
        <f t="shared" si="78"/>
        <v>0.61939999999999995</v>
      </c>
      <c r="E92" s="357">
        <v>0.62285999999999997</v>
      </c>
      <c r="F92" s="357">
        <f>+E81+F81</f>
        <v>0.66666000000000003</v>
      </c>
      <c r="G92" s="357">
        <f>+G81+H81</f>
        <v>0.70316999999999996</v>
      </c>
      <c r="H92" s="357">
        <f>+I81+J81</f>
        <v>0.72642600000000002</v>
      </c>
      <c r="I92" s="357">
        <f>+K81</f>
        <v>0.72372599999999998</v>
      </c>
      <c r="J92" s="415"/>
      <c r="K92" s="233"/>
      <c r="L92" s="233"/>
      <c r="M92" s="233"/>
      <c r="N92" s="403">
        <f t="shared" si="77"/>
        <v>6.2285999999999995E-7</v>
      </c>
      <c r="O92" s="28"/>
    </row>
    <row r="93" spans="1:15">
      <c r="A93" s="42">
        <v>4</v>
      </c>
      <c r="B93" s="242" t="s">
        <v>228</v>
      </c>
      <c r="C93" s="357">
        <f t="shared" si="78"/>
        <v>2.9218305000000004</v>
      </c>
      <c r="D93" s="357">
        <f t="shared" si="78"/>
        <v>3.0099241679999995</v>
      </c>
      <c r="E93" s="357">
        <v>3.2130000000000001</v>
      </c>
      <c r="F93" s="357">
        <f>+E82+F82</f>
        <v>3.2773658399999999</v>
      </c>
      <c r="G93" s="357">
        <f>+G82+H82</f>
        <v>3.4171730400000002</v>
      </c>
      <c r="H93" s="357">
        <f>+I82+J82</f>
        <v>3464.4014999999999</v>
      </c>
      <c r="I93" s="357">
        <f>+K82</f>
        <v>3.565827852</v>
      </c>
      <c r="J93" s="415"/>
      <c r="K93" s="233"/>
      <c r="L93" s="233"/>
      <c r="M93" s="233"/>
      <c r="N93" s="403">
        <f t="shared" si="77"/>
        <v>3.213E-6</v>
      </c>
      <c r="O93" s="28"/>
    </row>
    <row r="94" spans="1:15">
      <c r="A94" s="42">
        <v>5</v>
      </c>
      <c r="B94" s="242" t="s">
        <v>229</v>
      </c>
      <c r="C94" s="357">
        <f t="shared" si="78"/>
        <v>26.307560190000004</v>
      </c>
      <c r="D94" s="357">
        <f t="shared" si="78"/>
        <v>29.535000029759999</v>
      </c>
      <c r="E94" s="357">
        <v>34.31</v>
      </c>
      <c r="F94" s="357">
        <f>+E83+F83</f>
        <v>37.005728399999995</v>
      </c>
      <c r="G94" s="357">
        <f>+G83+H83</f>
        <v>40.079391000000001</v>
      </c>
      <c r="H94" s="357">
        <f>+I83+J83</f>
        <v>41.275228200000001</v>
      </c>
      <c r="I94" s="357">
        <f>+K83</f>
        <v>43.298047200000006</v>
      </c>
      <c r="J94" s="415"/>
      <c r="K94" s="233"/>
      <c r="L94" s="233"/>
      <c r="M94" s="233"/>
      <c r="N94" s="403">
        <f t="shared" si="77"/>
        <v>3.4310000000000002E-5</v>
      </c>
      <c r="O94" s="28"/>
    </row>
    <row r="95" spans="1:15">
      <c r="B95" s="132"/>
      <c r="C95" s="233"/>
      <c r="D95" s="233"/>
      <c r="E95" s="233"/>
      <c r="F95" s="233">
        <f>+F93*1000000</f>
        <v>3277365.84</v>
      </c>
      <c r="G95" s="233">
        <f t="shared" ref="G95:I95" si="79">+G93*1000000</f>
        <v>3417173.04</v>
      </c>
      <c r="H95" s="233">
        <f t="shared" si="79"/>
        <v>3464401500</v>
      </c>
      <c r="I95" s="233">
        <f t="shared" si="79"/>
        <v>3565827.852</v>
      </c>
      <c r="J95" s="415"/>
      <c r="K95" s="233"/>
      <c r="L95" s="233"/>
      <c r="M95" s="28"/>
      <c r="N95" s="385"/>
      <c r="O95" s="28"/>
    </row>
    <row r="96" spans="1:15">
      <c r="A96" s="367" t="s">
        <v>224</v>
      </c>
      <c r="B96" s="132"/>
      <c r="C96" s="233"/>
      <c r="D96" s="233"/>
      <c r="E96" s="233"/>
      <c r="F96" s="233"/>
      <c r="G96" s="233"/>
      <c r="H96" s="233"/>
      <c r="I96" s="233"/>
      <c r="J96" s="415"/>
      <c r="K96" s="233"/>
      <c r="L96" s="233"/>
      <c r="M96" s="28"/>
      <c r="N96" s="385"/>
      <c r="O96" s="28"/>
    </row>
    <row r="97" spans="1:19" s="353" customFormat="1">
      <c r="A97" s="349"/>
      <c r="B97" s="350" t="s">
        <v>56</v>
      </c>
      <c r="C97" s="351">
        <v>2021</v>
      </c>
      <c r="D97" s="351">
        <v>2022</v>
      </c>
      <c r="E97" s="351" t="s">
        <v>188</v>
      </c>
      <c r="F97" s="352">
        <v>2023</v>
      </c>
      <c r="G97" s="352">
        <v>2024</v>
      </c>
      <c r="H97" s="352">
        <v>2025</v>
      </c>
      <c r="I97" s="352">
        <v>2026</v>
      </c>
      <c r="J97" s="233"/>
      <c r="K97" s="233"/>
      <c r="L97" s="233"/>
      <c r="M97" s="233"/>
      <c r="N97" s="233"/>
      <c r="O97" s="233"/>
      <c r="P97" s="233"/>
      <c r="Q97" s="28"/>
      <c r="R97" s="28"/>
      <c r="S97" s="28"/>
    </row>
    <row r="98" spans="1:19">
      <c r="A98" s="42">
        <v>1</v>
      </c>
      <c r="B98" s="242" t="s">
        <v>23</v>
      </c>
      <c r="C98" s="232">
        <f>+C11</f>
        <v>26500</v>
      </c>
      <c r="D98" s="232">
        <f>+D11</f>
        <v>28600</v>
      </c>
      <c r="E98" s="232">
        <f>+E11</f>
        <v>31600</v>
      </c>
      <c r="F98" s="232">
        <f>+F10</f>
        <v>36000</v>
      </c>
      <c r="G98" s="232">
        <f>+H10</f>
        <v>37000</v>
      </c>
      <c r="H98" s="232">
        <f>+J10</f>
        <v>38000</v>
      </c>
      <c r="I98" s="232">
        <f>+K10</f>
        <v>39500</v>
      </c>
      <c r="J98" s="233"/>
      <c r="K98" s="233"/>
      <c r="L98" s="233"/>
      <c r="M98" s="233"/>
      <c r="N98" s="233"/>
      <c r="O98" s="233"/>
      <c r="P98" s="233"/>
    </row>
    <row r="99" spans="1:19">
      <c r="A99" s="42">
        <v>2</v>
      </c>
      <c r="B99" s="302" t="s">
        <v>225</v>
      </c>
      <c r="C99" s="232">
        <f>+C20</f>
        <v>43278.980751052652</v>
      </c>
      <c r="D99" s="232">
        <f>+D20</f>
        <v>43521.223926585968</v>
      </c>
      <c r="E99" s="232">
        <v>50323.120294598622</v>
      </c>
      <c r="F99" s="232">
        <f>+F20</f>
        <v>41212.143372861181</v>
      </c>
      <c r="G99" s="232">
        <f>+H20</f>
        <v>42579.567175393327</v>
      </c>
      <c r="H99" s="232">
        <f>+J20</f>
        <v>48697.464953100687</v>
      </c>
      <c r="I99" s="232">
        <f>+K20</f>
        <v>73781.167098738399</v>
      </c>
      <c r="J99" s="233"/>
      <c r="K99" s="233"/>
      <c r="L99" s="233"/>
      <c r="M99" s="233"/>
      <c r="N99" s="233"/>
      <c r="O99" s="233"/>
      <c r="P99" s="233"/>
    </row>
    <row r="100" spans="1:19">
      <c r="A100" s="42">
        <v>3</v>
      </c>
      <c r="B100" s="242" t="s">
        <v>206</v>
      </c>
      <c r="C100" s="232">
        <f>+C54</f>
        <v>77018.620746781904</v>
      </c>
      <c r="D100" s="232">
        <f>+D54</f>
        <v>77509.88959296637</v>
      </c>
      <c r="E100" s="232">
        <v>89002.848247725182</v>
      </c>
      <c r="F100" s="232">
        <f>+F54</f>
        <v>91589.622311684288</v>
      </c>
      <c r="G100" s="232">
        <f>+H54</f>
        <v>95213.941494913757</v>
      </c>
      <c r="H100" s="232">
        <f>+J54</f>
        <v>104126.505407021</v>
      </c>
      <c r="I100" s="232">
        <f>+K54</f>
        <v>123388.4484566895</v>
      </c>
      <c r="J100" s="233"/>
      <c r="K100" s="233"/>
      <c r="L100" s="233"/>
      <c r="M100" s="233"/>
      <c r="N100" s="233"/>
      <c r="O100" s="233"/>
      <c r="P100" s="233"/>
    </row>
    <row r="101" spans="1:19">
      <c r="B101" s="244"/>
      <c r="C101" s="233"/>
      <c r="D101" s="233"/>
      <c r="E101" s="233"/>
      <c r="F101" s="233"/>
      <c r="G101" s="233"/>
      <c r="H101" s="233"/>
      <c r="I101" s="233"/>
      <c r="J101" s="233"/>
      <c r="K101" s="233"/>
      <c r="L101" s="233"/>
      <c r="M101" s="233"/>
      <c r="N101" s="233"/>
      <c r="O101" s="233"/>
      <c r="P101" s="233"/>
    </row>
    <row r="102" spans="1:19">
      <c r="A102" s="367" t="s">
        <v>251</v>
      </c>
      <c r="B102" s="132"/>
      <c r="C102" s="233"/>
      <c r="D102" s="233"/>
      <c r="E102" s="233"/>
      <c r="F102" s="233"/>
      <c r="G102" s="478"/>
      <c r="H102" s="233"/>
      <c r="J102" s="233"/>
      <c r="K102" s="233"/>
      <c r="L102" s="233"/>
      <c r="M102" s="28"/>
      <c r="N102" s="385"/>
      <c r="O102" s="28"/>
    </row>
    <row r="103" spans="1:19" ht="27">
      <c r="A103" s="466"/>
      <c r="B103" s="467" t="s">
        <v>255</v>
      </c>
      <c r="C103" s="468"/>
      <c r="D103" s="468" t="s">
        <v>254</v>
      </c>
      <c r="E103" s="468">
        <v>2022</v>
      </c>
      <c r="F103" s="468">
        <v>2023</v>
      </c>
      <c r="G103" s="468">
        <v>2024</v>
      </c>
      <c r="H103" s="468">
        <v>2025</v>
      </c>
      <c r="I103" s="468">
        <v>2026</v>
      </c>
      <c r="J103" s="233"/>
      <c r="K103" s="233"/>
      <c r="L103" s="233"/>
      <c r="M103" s="28"/>
      <c r="N103" s="385"/>
      <c r="O103" s="28"/>
    </row>
    <row r="104" spans="1:19">
      <c r="A104" s="469">
        <v>1</v>
      </c>
      <c r="B104" s="469" t="s">
        <v>248</v>
      </c>
      <c r="C104" s="470"/>
      <c r="D104" s="471">
        <v>28916.3</v>
      </c>
      <c r="E104" s="471">
        <v>33472.199999999997</v>
      </c>
      <c r="F104" s="472">
        <v>35078.865599999997</v>
      </c>
      <c r="G104" s="472">
        <v>36446.941358399999</v>
      </c>
      <c r="H104" s="472">
        <v>37904.819012735999</v>
      </c>
      <c r="I104" s="472">
        <v>39421.011773245438</v>
      </c>
      <c r="J104" s="233"/>
      <c r="K104" s="233"/>
      <c r="L104" s="233"/>
      <c r="M104" s="28"/>
      <c r="N104" s="385"/>
      <c r="O104" s="28"/>
    </row>
    <row r="105" spans="1:19">
      <c r="A105" s="469">
        <v>2</v>
      </c>
      <c r="B105" s="469" t="s">
        <v>249</v>
      </c>
      <c r="C105" s="470"/>
      <c r="D105" s="471">
        <v>53495.199999999997</v>
      </c>
      <c r="E105" s="471">
        <v>62082.3</v>
      </c>
      <c r="F105" s="472">
        <v>65062.250399999997</v>
      </c>
      <c r="G105" s="472">
        <v>67599.678165599995</v>
      </c>
      <c r="H105" s="472">
        <v>70303.665292223988</v>
      </c>
      <c r="I105" s="472">
        <v>73115.811903912952</v>
      </c>
      <c r="J105" s="233"/>
      <c r="K105" s="233"/>
      <c r="L105" s="233"/>
      <c r="M105" s="28"/>
      <c r="N105" s="385"/>
      <c r="O105" s="28"/>
    </row>
    <row r="106" spans="1:19">
      <c r="A106" s="469">
        <v>3</v>
      </c>
      <c r="B106" s="469" t="s">
        <v>250</v>
      </c>
      <c r="C106" s="470"/>
      <c r="D106" s="470"/>
      <c r="E106" s="473">
        <f>+E104/D104-1</f>
        <v>0.15755473556437027</v>
      </c>
      <c r="F106" s="473">
        <v>4.8000000000000001E-2</v>
      </c>
      <c r="G106" s="473">
        <v>3.9E-2</v>
      </c>
      <c r="H106" s="473">
        <v>0.04</v>
      </c>
      <c r="I106" s="473">
        <v>0.04</v>
      </c>
      <c r="J106" s="233"/>
      <c r="K106" s="233"/>
      <c r="L106" s="233"/>
      <c r="M106" s="28"/>
      <c r="N106" s="385"/>
      <c r="O106" s="28"/>
    </row>
    <row r="107" spans="1:19">
      <c r="B107" s="244"/>
      <c r="E107" s="395"/>
      <c r="F107" s="396"/>
      <c r="G107" s="396"/>
      <c r="H107" s="396"/>
      <c r="I107" s="396"/>
      <c r="J107" s="233"/>
      <c r="K107" s="233"/>
      <c r="L107" s="233"/>
      <c r="M107" s="28"/>
      <c r="N107" s="385"/>
      <c r="O107" s="28"/>
    </row>
    <row r="108" spans="1:19">
      <c r="F108" s="392"/>
      <c r="H108" s="28"/>
      <c r="I108" s="28"/>
      <c r="J108" s="28"/>
      <c r="K108" s="28"/>
      <c r="L108" s="233"/>
      <c r="M108" s="28"/>
      <c r="N108" s="385"/>
      <c r="O108" s="28"/>
    </row>
    <row r="109" spans="1:19" ht="27">
      <c r="A109" s="397"/>
      <c r="B109" s="398" t="s">
        <v>262</v>
      </c>
      <c r="C109" s="399"/>
      <c r="D109" s="399" t="s">
        <v>254</v>
      </c>
      <c r="E109" s="399">
        <v>2022</v>
      </c>
      <c r="F109" s="399">
        <v>2023</v>
      </c>
      <c r="G109" s="399">
        <v>2024</v>
      </c>
      <c r="H109" s="399">
        <v>2025</v>
      </c>
      <c r="I109" s="399">
        <v>2026</v>
      </c>
      <c r="J109" s="233"/>
      <c r="K109" s="233"/>
      <c r="L109" s="233"/>
      <c r="M109" s="28"/>
      <c r="N109" s="385"/>
      <c r="O109" s="28"/>
    </row>
    <row r="110" spans="1:19">
      <c r="A110" s="400">
        <v>1</v>
      </c>
      <c r="B110" s="400" t="s">
        <v>248</v>
      </c>
      <c r="C110" s="401"/>
      <c r="D110" s="407">
        <v>38687</v>
      </c>
      <c r="E110" s="407">
        <v>42256.3</v>
      </c>
      <c r="F110" s="402">
        <v>44284.602400000003</v>
      </c>
      <c r="G110" s="402">
        <v>46011.701893600002</v>
      </c>
      <c r="H110" s="402">
        <v>47852.169969344002</v>
      </c>
      <c r="I110" s="402">
        <v>49766.256768117761</v>
      </c>
      <c r="J110" s="233"/>
      <c r="K110" s="233"/>
      <c r="L110" s="233"/>
      <c r="M110" s="28"/>
      <c r="N110" s="385"/>
      <c r="O110" s="28"/>
    </row>
    <row r="111" spans="1:19">
      <c r="A111" s="400">
        <v>2</v>
      </c>
      <c r="B111" s="400" t="s">
        <v>249</v>
      </c>
      <c r="C111" s="401"/>
      <c r="D111" s="402">
        <v>71570.899999999994</v>
      </c>
      <c r="E111" s="402">
        <v>78174.200000000012</v>
      </c>
      <c r="F111" s="402">
        <v>81926.561600000015</v>
      </c>
      <c r="G111" s="402">
        <v>85121.697502400013</v>
      </c>
      <c r="H111" s="402">
        <v>88526.565402496009</v>
      </c>
      <c r="I111" s="402">
        <v>92067.62801859586</v>
      </c>
      <c r="J111" s="233"/>
      <c r="K111" s="233"/>
      <c r="L111" s="233"/>
      <c r="M111" s="28"/>
      <c r="N111" s="385"/>
      <c r="O111" s="28"/>
    </row>
    <row r="112" spans="1:19">
      <c r="A112" s="400">
        <v>3</v>
      </c>
      <c r="B112" s="400" t="s">
        <v>250</v>
      </c>
      <c r="C112" s="401"/>
      <c r="D112" s="401"/>
      <c r="E112" s="406">
        <f>+E110/D110-1</f>
        <v>9.2260966216041629E-2</v>
      </c>
      <c r="F112" s="406">
        <v>4.8000000000000001E-2</v>
      </c>
      <c r="G112" s="406">
        <v>3.9E-2</v>
      </c>
      <c r="H112" s="406">
        <v>0.04</v>
      </c>
      <c r="I112" s="406">
        <v>0.04</v>
      </c>
      <c r="J112" s="233"/>
      <c r="K112" s="233"/>
      <c r="L112" s="233"/>
      <c r="M112" s="28"/>
      <c r="N112" s="385"/>
      <c r="O112" s="28"/>
    </row>
    <row r="113" spans="2:15">
      <c r="K113" s="233"/>
      <c r="L113" s="233"/>
      <c r="M113" s="28"/>
      <c r="N113" s="385"/>
      <c r="O113" s="28"/>
    </row>
    <row r="114" spans="2:15">
      <c r="E114" s="352">
        <v>2022</v>
      </c>
      <c r="F114" s="468">
        <v>2023</v>
      </c>
      <c r="G114" s="468">
        <v>2024</v>
      </c>
      <c r="H114" s="468">
        <v>2025</v>
      </c>
      <c r="I114" s="468">
        <v>2026</v>
      </c>
      <c r="K114" s="233"/>
      <c r="L114" s="233"/>
      <c r="M114" s="28"/>
      <c r="N114" s="385"/>
      <c r="O114" s="28"/>
    </row>
    <row r="115" spans="2:15">
      <c r="B115" s="242" t="s">
        <v>256</v>
      </c>
      <c r="E115" s="383">
        <f>+D98/E110</f>
        <v>0.67682215432965021</v>
      </c>
      <c r="F115" s="474">
        <f>+F98/F104</f>
        <v>1.0262589563329552</v>
      </c>
      <c r="G115" s="474">
        <f t="shared" ref="G115:I115" si="80">+G98/G104</f>
        <v>1.0151743499176382</v>
      </c>
      <c r="H115" s="474">
        <f t="shared" si="80"/>
        <v>1.0025110524134682</v>
      </c>
      <c r="I115" s="474">
        <f t="shared" si="80"/>
        <v>1.0020037087634612</v>
      </c>
      <c r="K115" s="233"/>
      <c r="L115" s="233"/>
      <c r="M115" s="28"/>
      <c r="N115" s="385"/>
      <c r="O115" s="28"/>
    </row>
    <row r="116" spans="2:15" ht="34.5">
      <c r="B116" s="302" t="s">
        <v>257</v>
      </c>
      <c r="E116" s="383">
        <f>+D99/E111</f>
        <v>0.55672106560202672</v>
      </c>
      <c r="F116" s="474">
        <f>+F99/F105</f>
        <v>0.63342634353239624</v>
      </c>
      <c r="G116" s="474">
        <f t="shared" ref="G116:I116" si="81">+G99/G105</f>
        <v>0.62987825283850452</v>
      </c>
      <c r="H116" s="474">
        <f t="shared" si="81"/>
        <v>0.69267320203982197</v>
      </c>
      <c r="I116" s="474">
        <f t="shared" si="81"/>
        <v>1.0091000178689096</v>
      </c>
      <c r="N116" s="385"/>
      <c r="O116" s="28"/>
    </row>
    <row r="117" spans="2:15">
      <c r="N117" s="385"/>
      <c r="O117" s="28"/>
    </row>
    <row r="118" spans="2:15">
      <c r="N118" s="385"/>
      <c r="O118" s="28"/>
    </row>
    <row r="119" spans="2:15">
      <c r="F119" s="293">
        <f t="shared" ref="F119:K121" si="82">+E13-E48</f>
        <v>-6000</v>
      </c>
      <c r="G119" s="293">
        <f t="shared" si="82"/>
        <v>-600</v>
      </c>
      <c r="H119" s="293">
        <f t="shared" si="82"/>
        <v>-600</v>
      </c>
      <c r="I119" s="293">
        <f t="shared" si="82"/>
        <v>-1600</v>
      </c>
      <c r="J119" s="293">
        <f t="shared" si="82"/>
        <v>-4800</v>
      </c>
      <c r="K119" s="293">
        <f t="shared" si="82"/>
        <v>-7200</v>
      </c>
      <c r="L119" s="293"/>
      <c r="M119" s="293"/>
      <c r="N119" s="385"/>
      <c r="O119" s="28"/>
    </row>
    <row r="120" spans="2:15">
      <c r="F120" s="293">
        <f t="shared" si="82"/>
        <v>-200</v>
      </c>
      <c r="G120" s="293">
        <f t="shared" si="82"/>
        <v>1600</v>
      </c>
      <c r="H120" s="293">
        <f t="shared" si="82"/>
        <v>1600</v>
      </c>
      <c r="I120" s="293">
        <f t="shared" si="82"/>
        <v>100</v>
      </c>
      <c r="J120" s="293">
        <f t="shared" si="82"/>
        <v>-2500</v>
      </c>
      <c r="K120" s="293">
        <f t="shared" si="82"/>
        <v>-3300</v>
      </c>
      <c r="L120" s="293"/>
      <c r="M120" s="293"/>
      <c r="N120" s="385"/>
      <c r="O120" s="28"/>
    </row>
    <row r="121" spans="2:15">
      <c r="F121" s="293">
        <f t="shared" si="82"/>
        <v>-1400</v>
      </c>
      <c r="G121" s="293">
        <f t="shared" si="82"/>
        <v>-2000</v>
      </c>
      <c r="H121" s="293">
        <f t="shared" si="82"/>
        <v>-2000</v>
      </c>
      <c r="I121" s="293">
        <f t="shared" si="82"/>
        <v>-3300</v>
      </c>
      <c r="J121" s="293">
        <f t="shared" si="82"/>
        <v>-5700</v>
      </c>
      <c r="K121" s="293">
        <f t="shared" si="82"/>
        <v>-7300</v>
      </c>
      <c r="L121" s="293"/>
      <c r="M121" s="293"/>
      <c r="N121" s="385"/>
      <c r="O121" s="28"/>
    </row>
    <row r="122" spans="2:15">
      <c r="N122" s="385"/>
      <c r="O122" s="28"/>
    </row>
    <row r="123" spans="2:15">
      <c r="N123" s="385"/>
      <c r="O123" s="28"/>
    </row>
    <row r="124" spans="2:15">
      <c r="N124" s="385"/>
      <c r="O124" s="28"/>
    </row>
    <row r="125" spans="2:15">
      <c r="N125" s="385"/>
      <c r="O125" s="28"/>
    </row>
    <row r="126" spans="2:15">
      <c r="N126" s="385"/>
      <c r="O126" s="28"/>
    </row>
    <row r="127" spans="2:15">
      <c r="N127" s="385"/>
      <c r="O127" s="28"/>
    </row>
    <row r="128" spans="2:15">
      <c r="N128" s="385"/>
      <c r="O128" s="28"/>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M49"/>
  <sheetViews>
    <sheetView topLeftCell="A10" workbookViewId="0">
      <pane xSplit="4605" ySplit="6360" topLeftCell="AC38" activePane="bottomRight"/>
      <selection activeCell="AZ19" sqref="AZ19"/>
      <selection pane="topRight" activeCell="AU15" sqref="AU15"/>
      <selection pane="bottomLeft" activeCell="A14" sqref="A14"/>
      <selection pane="bottomRight" activeCell="AJ44" sqref="AJ44"/>
    </sheetView>
  </sheetViews>
  <sheetFormatPr defaultColWidth="9.140625" defaultRowHeight="16.5" outlineLevelCol="1"/>
  <cols>
    <col min="1" max="1" width="4.140625" style="67" customWidth="1"/>
    <col min="2" max="2" width="5.140625" style="67" customWidth="1"/>
    <col min="3" max="3" width="41.42578125" style="67" customWidth="1"/>
    <col min="4" max="4" width="6.42578125" style="67" hidden="1" customWidth="1" outlineLevel="1"/>
    <col min="5" max="5" width="7.42578125" style="67" hidden="1" customWidth="1" outlineLevel="1"/>
    <col min="6" max="6" width="5.42578125" style="67" hidden="1" customWidth="1" outlineLevel="1"/>
    <col min="7" max="7" width="6" style="67" hidden="1" customWidth="1" outlineLevel="1"/>
    <col min="8" max="9" width="9.140625" style="170" hidden="1" customWidth="1" outlineLevel="1"/>
    <col min="10" max="10" width="14.42578125" style="170" hidden="1" customWidth="1" outlineLevel="1"/>
    <col min="11" max="14" width="10.42578125" style="67" hidden="1" customWidth="1" outlineLevel="1"/>
    <col min="15" max="15" width="13.42578125" style="67" hidden="1" customWidth="1" outlineLevel="1"/>
    <col min="16" max="16" width="9.42578125" style="67" hidden="1" customWidth="1" outlineLevel="1"/>
    <col min="17" max="17" width="13.42578125" style="67" hidden="1" customWidth="1" outlineLevel="1"/>
    <col min="18" max="18" width="10.42578125" style="67" customWidth="1" collapsed="1"/>
    <col min="19" max="21" width="10.42578125" style="67" customWidth="1"/>
    <col min="22" max="22" width="13.42578125" style="67" customWidth="1"/>
    <col min="23" max="23" width="9.42578125" style="67" customWidth="1"/>
    <col min="24" max="24" width="14.7109375" style="67" bestFit="1" customWidth="1"/>
    <col min="25" max="25" width="14.7109375" style="67" customWidth="1"/>
    <col min="26" max="29" width="13.42578125" style="67" customWidth="1"/>
    <col min="30" max="30" width="10" style="67" customWidth="1"/>
    <col min="31" max="31" width="10.42578125" style="67" customWidth="1"/>
    <col min="32" max="32" width="13.42578125" style="67" customWidth="1"/>
    <col min="33" max="33" width="14" style="67" customWidth="1"/>
    <col min="34" max="35" width="13" style="67" customWidth="1"/>
    <col min="36" max="36" width="12" style="67" customWidth="1"/>
    <col min="37" max="37" width="13.5703125" style="67" customWidth="1"/>
    <col min="38" max="41" width="10.42578125" style="67" customWidth="1"/>
    <col min="42" max="42" width="13.42578125" style="67" customWidth="1"/>
    <col min="43" max="43" width="11.140625" style="67" bestFit="1" customWidth="1"/>
    <col min="44" max="45" width="13.42578125" style="67" customWidth="1"/>
    <col min="46" max="46" width="14.42578125" style="67" customWidth="1"/>
    <col min="47" max="47" width="13.85546875" style="67" bestFit="1" customWidth="1"/>
    <col min="48" max="51" width="10.42578125" style="67" customWidth="1"/>
    <col min="52" max="52" width="13.42578125" style="67" customWidth="1"/>
    <col min="53" max="53" width="12.7109375" style="67" customWidth="1"/>
    <col min="54" max="54" width="14.85546875" style="67" customWidth="1"/>
    <col min="55" max="55" width="13.42578125" style="67" customWidth="1"/>
    <col min="56" max="56" width="17" style="67" bestFit="1" customWidth="1"/>
    <col min="57" max="60" width="10.42578125" style="67" customWidth="1"/>
    <col min="61" max="61" width="13.42578125" style="67" customWidth="1"/>
    <col min="62" max="62" width="10.140625" style="67" bestFit="1" customWidth="1"/>
    <col min="63" max="63" width="13.42578125" style="67" customWidth="1"/>
    <col min="64" max="16384" width="9.140625" style="67"/>
  </cols>
  <sheetData>
    <row r="1" spans="2:65" ht="17.25">
      <c r="B1" s="139"/>
      <c r="C1" s="139"/>
      <c r="D1" s="61"/>
      <c r="F1" s="61"/>
      <c r="G1" s="61"/>
      <c r="H1" s="61"/>
      <c r="I1" s="61"/>
      <c r="J1" s="61"/>
      <c r="O1" s="140" t="s">
        <v>23</v>
      </c>
      <c r="P1" s="141">
        <v>26500</v>
      </c>
      <c r="V1" s="140"/>
      <c r="W1" s="141">
        <f>+ընդհանուր!D11</f>
        <v>28600</v>
      </c>
      <c r="X1" s="141">
        <f>+ընդհանուր!E11</f>
        <v>31600</v>
      </c>
      <c r="AE1" s="140"/>
      <c r="AF1" s="250">
        <f>+ընդհանուր!E11</f>
        <v>31600</v>
      </c>
      <c r="AJ1" s="292">
        <f>+ընդհանուր!F10</f>
        <v>36000</v>
      </c>
      <c r="AO1" s="140"/>
      <c r="AP1" s="250">
        <f>+ընդհանուր!G10</f>
        <v>36000</v>
      </c>
      <c r="AT1" s="292">
        <f>+ընդհանուր!H10</f>
        <v>37000</v>
      </c>
      <c r="AY1" s="140"/>
      <c r="AZ1" s="250">
        <f>+ընդհանուր!I10</f>
        <v>37000</v>
      </c>
      <c r="BC1" s="292">
        <f>+ընդհանուր!J10</f>
        <v>38000</v>
      </c>
      <c r="BH1" s="140"/>
      <c r="BI1" s="292">
        <f>+ընդհանուր!K10</f>
        <v>39500</v>
      </c>
    </row>
    <row r="2" spans="2:65" ht="17.25" customHeight="1">
      <c r="B2" s="139"/>
      <c r="C2" s="139"/>
      <c r="D2" s="61"/>
      <c r="F2" s="61"/>
      <c r="G2" s="61"/>
      <c r="H2" s="61"/>
      <c r="I2" s="61"/>
      <c r="J2" s="61"/>
      <c r="O2" s="140" t="s">
        <v>22</v>
      </c>
      <c r="P2" s="142">
        <f>+ընդհանուր!C45</f>
        <v>18000</v>
      </c>
      <c r="V2" s="140"/>
      <c r="W2" s="142">
        <f>+ընդհանուր!D45</f>
        <v>18000</v>
      </c>
      <c r="X2" s="142">
        <f>+ընդհանուր!E45</f>
        <v>20000</v>
      </c>
      <c r="AE2" s="140"/>
      <c r="AF2" s="251">
        <f>+ընդհանուր!E45</f>
        <v>20000</v>
      </c>
      <c r="AJ2" s="292">
        <f>+ընդհանուր!F45</f>
        <v>20000</v>
      </c>
      <c r="AO2" s="140"/>
      <c r="AP2" s="251">
        <f>+ընդհանուր!G45</f>
        <v>20000</v>
      </c>
      <c r="AT2" s="292">
        <f>+ընդհանուր!H45</f>
        <v>21000</v>
      </c>
      <c r="AY2" s="140"/>
      <c r="AZ2" s="251">
        <f>+ընդհանուր!I45</f>
        <v>21000</v>
      </c>
      <c r="BC2" s="292">
        <f>+ընդհանուր!J45</f>
        <v>22000</v>
      </c>
      <c r="BH2" s="140"/>
      <c r="BI2" s="292">
        <f>+ընդհանուր!K45</f>
        <v>25000</v>
      </c>
    </row>
    <row r="3" spans="2:65" ht="17.25" customHeight="1">
      <c r="B3" s="139"/>
      <c r="C3" s="139"/>
      <c r="D3" s="61"/>
      <c r="F3" s="61"/>
      <c r="G3" s="61"/>
      <c r="H3" s="61"/>
      <c r="I3" s="61"/>
      <c r="J3" s="61"/>
      <c r="O3" s="140" t="s">
        <v>144</v>
      </c>
      <c r="P3" s="142">
        <f>+ընդհանուր!C46</f>
        <v>1600</v>
      </c>
      <c r="V3" s="140"/>
      <c r="W3" s="142">
        <f>+ընդհանուր!D46</f>
        <v>1600</v>
      </c>
      <c r="X3" s="142">
        <f>+ընդհանուր!E46</f>
        <v>1600</v>
      </c>
      <c r="AE3" s="140"/>
      <c r="AF3" s="251">
        <f>+ընդհանուր!E46</f>
        <v>1600</v>
      </c>
      <c r="AJ3" s="292">
        <f>+ընդհանուր!F46</f>
        <v>1750</v>
      </c>
      <c r="AO3" s="140"/>
      <c r="AP3" s="251">
        <f>+ընդհանուր!G46</f>
        <v>1750</v>
      </c>
      <c r="AT3" s="292">
        <f>+ընդհանուր!H46</f>
        <v>1800</v>
      </c>
      <c r="AY3" s="140"/>
      <c r="AZ3" s="251">
        <f>+ընդհանուր!I46</f>
        <v>1900</v>
      </c>
      <c r="BC3" s="292">
        <f>+ընդհանուր!J46</f>
        <v>2100</v>
      </c>
      <c r="BH3" s="140"/>
      <c r="BI3" s="292">
        <f>+ընդհանուր!K46</f>
        <v>2700</v>
      </c>
    </row>
    <row r="4" spans="2:65" ht="17.25" customHeight="1">
      <c r="B4" s="139"/>
      <c r="C4" s="139"/>
      <c r="D4" s="61"/>
      <c r="F4" s="61"/>
      <c r="G4" s="61"/>
      <c r="H4" s="61"/>
      <c r="I4" s="61"/>
      <c r="J4" s="61"/>
      <c r="O4" s="140" t="s">
        <v>145</v>
      </c>
      <c r="P4" s="142">
        <f>+ընդհանուր!C48</f>
        <v>40000</v>
      </c>
      <c r="V4" s="140"/>
      <c r="W4" s="142">
        <f>+ընդհանուր!D48</f>
        <v>43000</v>
      </c>
      <c r="X4" s="142">
        <f>+ընդհանուր!E48</f>
        <v>46000</v>
      </c>
      <c r="AE4" s="140"/>
      <c r="AF4" s="251">
        <f>+ընդհանուր!E48</f>
        <v>46000</v>
      </c>
      <c r="AJ4" s="292">
        <f>+ընդհանուր!F48</f>
        <v>50600</v>
      </c>
      <c r="AO4" s="140"/>
      <c r="AP4" s="251">
        <f>+ընդհանուր!G48</f>
        <v>50600</v>
      </c>
      <c r="AT4" s="292">
        <f>+ընդհանուր!H48</f>
        <v>53600</v>
      </c>
      <c r="AY4" s="140"/>
      <c r="AZ4" s="251">
        <f>+ընդհանուր!I48</f>
        <v>56800</v>
      </c>
      <c r="BC4" s="292">
        <f>+ընդհանուր!J48</f>
        <v>60200</v>
      </c>
      <c r="BH4" s="140"/>
      <c r="BI4" s="292">
        <f>+ընդհանուր!K48</f>
        <v>63800</v>
      </c>
    </row>
    <row r="5" spans="2:65" ht="17.25" customHeight="1">
      <c r="B5" s="139"/>
      <c r="C5" s="139"/>
      <c r="D5" s="61"/>
      <c r="F5" s="61"/>
      <c r="G5" s="61"/>
      <c r="H5" s="61"/>
      <c r="I5" s="61"/>
      <c r="J5" s="61"/>
      <c r="O5" s="140" t="s">
        <v>146</v>
      </c>
      <c r="P5" s="142">
        <f>+ընդհանուր!C49</f>
        <v>30000</v>
      </c>
      <c r="V5" s="140"/>
      <c r="W5" s="142">
        <f>+ընդհանուր!D49</f>
        <v>33000</v>
      </c>
      <c r="X5" s="142">
        <f>+ընդհանուր!E49</f>
        <v>36000</v>
      </c>
      <c r="AE5" s="140"/>
      <c r="AF5" s="251">
        <f>+ընդհանուր!E49</f>
        <v>36000</v>
      </c>
      <c r="AJ5" s="292">
        <f>+ընդհանուր!F49</f>
        <v>41400</v>
      </c>
      <c r="AO5" s="140"/>
      <c r="AP5" s="251">
        <f>+ընդհանուր!G49</f>
        <v>41400</v>
      </c>
      <c r="AT5" s="292">
        <f>+ընդհանուր!H49</f>
        <v>43900</v>
      </c>
      <c r="AY5" s="140"/>
      <c r="AZ5" s="251">
        <f>+ընդհանուր!I49</f>
        <v>46500</v>
      </c>
      <c r="BC5" s="292">
        <f>+ընդհանուր!J49</f>
        <v>49300</v>
      </c>
      <c r="BH5" s="140"/>
      <c r="BI5" s="292">
        <f>+ընդհանուր!K49</f>
        <v>52300</v>
      </c>
    </row>
    <row r="6" spans="2:65" ht="17.25" customHeight="1">
      <c r="B6" s="633"/>
      <c r="C6" s="633"/>
      <c r="D6" s="61"/>
      <c r="E6" s="61"/>
      <c r="F6" s="61"/>
      <c r="G6" s="61"/>
      <c r="H6" s="61"/>
      <c r="I6" s="61"/>
      <c r="J6" s="61"/>
      <c r="O6" s="140" t="s">
        <v>147</v>
      </c>
      <c r="P6" s="142">
        <f>+ընդհանուր!C50</f>
        <v>27000</v>
      </c>
      <c r="V6" s="140"/>
      <c r="W6" s="251">
        <f>+ընդհանուր!D50</f>
        <v>30000</v>
      </c>
      <c r="X6" s="251">
        <f>+ընդհանուր!E50</f>
        <v>33000</v>
      </c>
      <c r="AE6" s="140"/>
      <c r="AF6" s="251">
        <f>+ընդհանուր!E50</f>
        <v>33000</v>
      </c>
      <c r="AJ6" s="292">
        <f>+ընդհանուր!F50</f>
        <v>38000</v>
      </c>
      <c r="AO6" s="140"/>
      <c r="AP6" s="251">
        <f>+ընդհանուր!G50</f>
        <v>38000</v>
      </c>
      <c r="AT6" s="292">
        <f>+ընդհանուր!H50</f>
        <v>40300</v>
      </c>
      <c r="AY6" s="140"/>
      <c r="AZ6" s="251">
        <f>+ընդհանուր!I50</f>
        <v>42700</v>
      </c>
      <c r="BC6" s="292">
        <f>+ընդհանուր!J50</f>
        <v>45300</v>
      </c>
      <c r="BH6" s="140"/>
      <c r="BI6" s="292">
        <f>+ընդհանուր!K50</f>
        <v>48000</v>
      </c>
    </row>
    <row r="7" spans="2:65" ht="17.25" customHeight="1">
      <c r="B7" s="417"/>
      <c r="C7" s="417"/>
      <c r="D7" s="61"/>
      <c r="E7" s="61"/>
      <c r="F7" s="61"/>
      <c r="G7" s="61"/>
      <c r="H7" s="61"/>
      <c r="I7" s="61"/>
      <c r="J7" s="61"/>
      <c r="O7" s="140" t="s">
        <v>148</v>
      </c>
      <c r="P7" s="142">
        <f>+ընդհանուր!C52</f>
        <v>27000</v>
      </c>
      <c r="V7" s="140"/>
      <c r="W7" s="142">
        <f>+ընդհանուր!D52</f>
        <v>30000</v>
      </c>
      <c r="X7" s="142">
        <f>+ընդհանուր!E52</f>
        <v>33000</v>
      </c>
      <c r="AE7" s="140"/>
      <c r="AF7" s="251">
        <f>+ընդհանուր!E52</f>
        <v>33000</v>
      </c>
      <c r="AJ7" s="292">
        <f>+ընդհանուր!F52</f>
        <v>38000</v>
      </c>
      <c r="AO7" s="140"/>
      <c r="AP7" s="251">
        <f>+ընդհանուր!G52</f>
        <v>38000</v>
      </c>
      <c r="AT7" s="292">
        <f>+ընդհանուր!H52</f>
        <v>40300</v>
      </c>
      <c r="AY7" s="140"/>
      <c r="AZ7" s="251">
        <f>+ընդհանուր!I52</f>
        <v>42700</v>
      </c>
      <c r="BC7" s="292">
        <f>+ընդհանուր!J52</f>
        <v>45300</v>
      </c>
      <c r="BH7" s="140"/>
      <c r="BI7" s="292">
        <f>+ընդհանուր!K52</f>
        <v>48000</v>
      </c>
    </row>
    <row r="8" spans="2:65" ht="17.25" customHeight="1">
      <c r="B8" s="417"/>
      <c r="C8" s="417"/>
      <c r="D8" s="61"/>
      <c r="E8" s="61"/>
      <c r="F8" s="61"/>
      <c r="G8" s="61"/>
      <c r="H8" s="61"/>
      <c r="I8" s="61"/>
      <c r="J8" s="61"/>
      <c r="O8" s="140" t="s">
        <v>149</v>
      </c>
      <c r="P8" s="142">
        <f>+ընդհանուր!C53</f>
        <v>90000</v>
      </c>
      <c r="V8" s="140"/>
      <c r="W8" s="142">
        <f>+ընդհանուր!D53</f>
        <v>90000</v>
      </c>
      <c r="X8" s="142">
        <f>+ընդհանուր!E53</f>
        <v>105000</v>
      </c>
      <c r="AE8" s="140"/>
      <c r="AF8" s="251">
        <f>+ընդհանուր!E53</f>
        <v>105000</v>
      </c>
      <c r="AJ8" s="292">
        <f>+ընդհանուր!F53</f>
        <v>106200</v>
      </c>
      <c r="AO8" s="140"/>
      <c r="AP8" s="251">
        <f>+ընդհանուր!G53</f>
        <v>106200</v>
      </c>
      <c r="AT8" s="292">
        <f>+ընդհանուր!H53</f>
        <v>107300</v>
      </c>
      <c r="AY8" s="140"/>
      <c r="AZ8" s="251">
        <f>+ընդհանուր!I53</f>
        <v>107300</v>
      </c>
      <c r="BC8" s="292">
        <f>+ընդհանուր!J53</f>
        <v>108300</v>
      </c>
      <c r="BH8" s="140"/>
      <c r="BI8" s="292">
        <f>+ընդհանուր!K53</f>
        <v>110600</v>
      </c>
    </row>
    <row r="9" spans="2:65" ht="17.25" customHeight="1">
      <c r="B9" s="417"/>
      <c r="C9" s="417"/>
      <c r="D9" s="61"/>
      <c r="E9" s="61"/>
      <c r="F9" s="61"/>
      <c r="G9" s="61"/>
      <c r="H9" s="61"/>
      <c r="I9" s="61"/>
      <c r="J9" s="61"/>
      <c r="O9" s="140" t="s">
        <v>150</v>
      </c>
      <c r="P9" s="142">
        <f>+P7</f>
        <v>27000</v>
      </c>
      <c r="V9" s="140"/>
      <c r="W9" s="142">
        <f>+W7</f>
        <v>30000</v>
      </c>
      <c r="X9" s="142">
        <f>+X7</f>
        <v>33000</v>
      </c>
      <c r="AE9" s="140"/>
      <c r="AF9" s="251">
        <f>+AF7</f>
        <v>33000</v>
      </c>
      <c r="AJ9" s="292">
        <f>+AJ7</f>
        <v>38000</v>
      </c>
      <c r="AO9" s="140"/>
      <c r="AP9" s="251">
        <f>+AP7</f>
        <v>38000</v>
      </c>
      <c r="AT9" s="292">
        <f>+AT7</f>
        <v>40300</v>
      </c>
      <c r="AY9" s="140"/>
      <c r="AZ9" s="251">
        <f>+AZ7</f>
        <v>42700</v>
      </c>
      <c r="BC9" s="292">
        <f>+BC7</f>
        <v>45300</v>
      </c>
      <c r="BH9" s="140"/>
      <c r="BI9" s="292">
        <f>+BI7</f>
        <v>48000</v>
      </c>
    </row>
    <row r="10" spans="2:65" ht="17.25" customHeight="1">
      <c r="B10" s="417"/>
      <c r="C10" s="417"/>
      <c r="D10" s="61"/>
      <c r="E10" s="61"/>
      <c r="F10" s="61"/>
      <c r="G10" s="61"/>
      <c r="H10" s="61"/>
      <c r="I10" s="61"/>
      <c r="J10" s="61"/>
      <c r="O10" s="140"/>
      <c r="U10" s="267"/>
      <c r="V10" s="193"/>
      <c r="Y10" s="364">
        <f>+Z11/W15/5*1000</f>
        <v>0</v>
      </c>
      <c r="AJ10" s="267" t="s">
        <v>195</v>
      </c>
      <c r="AK10" s="268">
        <v>1.01</v>
      </c>
      <c r="AR10" s="267"/>
      <c r="AS10" s="267"/>
      <c r="AT10" s="267" t="s">
        <v>195</v>
      </c>
      <c r="AU10" s="268">
        <v>1.02</v>
      </c>
      <c r="AY10" s="267" t="s">
        <v>195</v>
      </c>
      <c r="AZ10" s="268">
        <v>1.01</v>
      </c>
      <c r="BB10" s="267"/>
      <c r="BC10" s="268"/>
      <c r="BH10" s="140"/>
    </row>
    <row r="11" spans="2:65" ht="35.25" customHeight="1">
      <c r="D11" s="61"/>
      <c r="E11" s="61"/>
      <c r="F11" s="61"/>
      <c r="G11" s="61"/>
      <c r="H11" s="61"/>
      <c r="I11" s="61"/>
      <c r="J11" s="80"/>
      <c r="V11" s="364"/>
      <c r="W11" s="364"/>
      <c r="X11" s="364"/>
      <c r="Y11" s="364"/>
      <c r="Z11" s="365"/>
      <c r="AA11" s="365"/>
      <c r="AB11" s="365"/>
      <c r="AC11" s="365"/>
      <c r="AH11" s="366">
        <f>+ընդհանուր!F6</f>
        <v>6</v>
      </c>
      <c r="AI11" s="366"/>
      <c r="AK11" s="366">
        <f>+ընդհանուր!G6</f>
        <v>6</v>
      </c>
      <c r="AR11" s="366">
        <f>+ընդհանուր!H6</f>
        <v>6</v>
      </c>
      <c r="AS11" s="366"/>
      <c r="AT11" s="617">
        <f>+AS18*AT18*6/1000</f>
        <v>2541930.7227520836</v>
      </c>
      <c r="AU11" s="366">
        <f>+ընդհանուր!I6</f>
        <v>6</v>
      </c>
      <c r="BB11" s="366">
        <f>+ընդհանուր!J6</f>
        <v>6</v>
      </c>
      <c r="BD11" s="366">
        <f>+ընդհանուր!J6</f>
        <v>6</v>
      </c>
    </row>
    <row r="12" spans="2:65" ht="30" customHeight="1">
      <c r="B12" s="634" t="s">
        <v>68</v>
      </c>
      <c r="C12" s="634" t="s">
        <v>69</v>
      </c>
      <c r="D12" s="626" t="s">
        <v>70</v>
      </c>
      <c r="E12" s="626" t="s">
        <v>71</v>
      </c>
      <c r="F12" s="626" t="s">
        <v>72</v>
      </c>
      <c r="G12" s="626" t="s">
        <v>73</v>
      </c>
      <c r="H12" s="629" t="s">
        <v>151</v>
      </c>
      <c r="I12" s="630"/>
      <c r="J12" s="631"/>
      <c r="K12" s="626" t="s">
        <v>70</v>
      </c>
      <c r="L12" s="626" t="s">
        <v>71</v>
      </c>
      <c r="M12" s="626" t="s">
        <v>72</v>
      </c>
      <c r="N12" s="626" t="s">
        <v>73</v>
      </c>
      <c r="O12" s="629" t="s">
        <v>160</v>
      </c>
      <c r="P12" s="630"/>
      <c r="Q12" s="631"/>
      <c r="R12" s="626" t="s">
        <v>70</v>
      </c>
      <c r="S12" s="626" t="s">
        <v>71</v>
      </c>
      <c r="T12" s="626" t="s">
        <v>72</v>
      </c>
      <c r="U12" s="626" t="s">
        <v>73</v>
      </c>
      <c r="V12" s="632" t="s">
        <v>110</v>
      </c>
      <c r="W12" s="632"/>
      <c r="X12" s="632"/>
      <c r="Y12" s="632"/>
      <c r="Z12" s="632"/>
      <c r="AA12" s="628" t="s">
        <v>276</v>
      </c>
      <c r="AB12" s="628"/>
      <c r="AC12" s="628"/>
      <c r="AD12" s="626" t="s">
        <v>71</v>
      </c>
      <c r="AE12" s="626" t="s">
        <v>73</v>
      </c>
      <c r="AF12" s="629" t="s">
        <v>237</v>
      </c>
      <c r="AG12" s="630"/>
      <c r="AH12" s="631"/>
      <c r="AI12" s="629" t="s">
        <v>238</v>
      </c>
      <c r="AJ12" s="630"/>
      <c r="AK12" s="631"/>
      <c r="AL12" s="626" t="s">
        <v>70</v>
      </c>
      <c r="AM12" s="626" t="s">
        <v>71</v>
      </c>
      <c r="AN12" s="626" t="s">
        <v>72</v>
      </c>
      <c r="AO12" s="626" t="s">
        <v>73</v>
      </c>
      <c r="AP12" s="629" t="s">
        <v>239</v>
      </c>
      <c r="AQ12" s="630"/>
      <c r="AR12" s="631"/>
      <c r="AS12" s="629" t="s">
        <v>241</v>
      </c>
      <c r="AT12" s="630"/>
      <c r="AU12" s="631"/>
      <c r="AV12" s="626" t="s">
        <v>70</v>
      </c>
      <c r="AW12" s="626" t="s">
        <v>71</v>
      </c>
      <c r="AX12" s="626" t="s">
        <v>72</v>
      </c>
      <c r="AY12" s="626" t="s">
        <v>73</v>
      </c>
      <c r="AZ12" s="629" t="s">
        <v>240</v>
      </c>
      <c r="BA12" s="630"/>
      <c r="BB12" s="631"/>
      <c r="BC12" s="629" t="s">
        <v>242</v>
      </c>
      <c r="BD12" s="631"/>
      <c r="BE12" s="626" t="s">
        <v>70</v>
      </c>
      <c r="BF12" s="626" t="s">
        <v>71</v>
      </c>
      <c r="BG12" s="626" t="s">
        <v>72</v>
      </c>
      <c r="BH12" s="626" t="s">
        <v>73</v>
      </c>
      <c r="BI12" s="629" t="s">
        <v>190</v>
      </c>
      <c r="BJ12" s="630"/>
      <c r="BK12" s="631"/>
    </row>
    <row r="13" spans="2:65" ht="54" customHeight="1">
      <c r="B13" s="635"/>
      <c r="C13" s="635"/>
      <c r="D13" s="627"/>
      <c r="E13" s="627"/>
      <c r="F13" s="627"/>
      <c r="G13" s="627"/>
      <c r="H13" s="62" t="s">
        <v>74</v>
      </c>
      <c r="I13" s="62" t="s">
        <v>75</v>
      </c>
      <c r="J13" s="62" t="s">
        <v>76</v>
      </c>
      <c r="K13" s="627"/>
      <c r="L13" s="627"/>
      <c r="M13" s="627"/>
      <c r="N13" s="627"/>
      <c r="O13" s="62" t="s">
        <v>74</v>
      </c>
      <c r="P13" s="62" t="s">
        <v>75</v>
      </c>
      <c r="Q13" s="62" t="s">
        <v>76</v>
      </c>
      <c r="R13" s="627"/>
      <c r="S13" s="627"/>
      <c r="T13" s="627"/>
      <c r="U13" s="627"/>
      <c r="V13" s="62" t="s">
        <v>74</v>
      </c>
      <c r="W13" s="62" t="s">
        <v>75</v>
      </c>
      <c r="X13" s="517" t="s">
        <v>274</v>
      </c>
      <c r="Y13" s="517" t="s">
        <v>275</v>
      </c>
      <c r="Z13" s="62" t="s">
        <v>76</v>
      </c>
      <c r="AA13" s="520" t="s">
        <v>70</v>
      </c>
      <c r="AB13" s="416" t="s">
        <v>72</v>
      </c>
      <c r="AC13" s="62" t="s">
        <v>74</v>
      </c>
      <c r="AD13" s="627"/>
      <c r="AE13" s="627"/>
      <c r="AF13" s="62" t="s">
        <v>74</v>
      </c>
      <c r="AG13" s="62" t="s">
        <v>75</v>
      </c>
      <c r="AH13" s="62" t="s">
        <v>76</v>
      </c>
      <c r="AI13" s="62" t="s">
        <v>74</v>
      </c>
      <c r="AJ13" s="62" t="s">
        <v>75</v>
      </c>
      <c r="AK13" s="62" t="s">
        <v>76</v>
      </c>
      <c r="AL13" s="627"/>
      <c r="AM13" s="627"/>
      <c r="AN13" s="627"/>
      <c r="AO13" s="627"/>
      <c r="AP13" s="62" t="s">
        <v>74</v>
      </c>
      <c r="AQ13" s="62" t="s">
        <v>75</v>
      </c>
      <c r="AR13" s="62" t="s">
        <v>76</v>
      </c>
      <c r="AS13" s="62" t="s">
        <v>74</v>
      </c>
      <c r="AT13" s="62" t="s">
        <v>75</v>
      </c>
      <c r="AU13" s="62" t="s">
        <v>76</v>
      </c>
      <c r="AV13" s="627"/>
      <c r="AW13" s="627"/>
      <c r="AX13" s="627"/>
      <c r="AY13" s="627"/>
      <c r="AZ13" s="62" t="s">
        <v>74</v>
      </c>
      <c r="BA13" s="62" t="s">
        <v>75</v>
      </c>
      <c r="BB13" s="62" t="s">
        <v>76</v>
      </c>
      <c r="BC13" s="62" t="s">
        <v>75</v>
      </c>
      <c r="BD13" s="62" t="s">
        <v>76</v>
      </c>
      <c r="BE13" s="627"/>
      <c r="BF13" s="627"/>
      <c r="BG13" s="627"/>
      <c r="BH13" s="627"/>
      <c r="BI13" s="62" t="s">
        <v>74</v>
      </c>
      <c r="BJ13" s="62" t="s">
        <v>75</v>
      </c>
      <c r="BK13" s="62" t="s">
        <v>76</v>
      </c>
    </row>
    <row r="14" spans="2:65">
      <c r="B14" s="143">
        <v>1</v>
      </c>
      <c r="C14" s="143">
        <v>2</v>
      </c>
      <c r="D14" s="143">
        <v>3</v>
      </c>
      <c r="E14" s="143">
        <v>4</v>
      </c>
      <c r="F14" s="143">
        <v>5</v>
      </c>
      <c r="G14" s="143">
        <v>6</v>
      </c>
      <c r="H14" s="143">
        <v>7</v>
      </c>
      <c r="I14" s="143">
        <v>8</v>
      </c>
      <c r="J14" s="143">
        <v>9</v>
      </c>
      <c r="K14" s="143">
        <v>10</v>
      </c>
      <c r="L14" s="143">
        <v>11</v>
      </c>
      <c r="M14" s="143">
        <v>12</v>
      </c>
      <c r="N14" s="143">
        <v>13</v>
      </c>
      <c r="O14" s="143">
        <v>14</v>
      </c>
      <c r="P14" s="143">
        <v>15</v>
      </c>
      <c r="Q14" s="143">
        <v>16</v>
      </c>
      <c r="R14" s="143">
        <v>10</v>
      </c>
      <c r="S14" s="143">
        <v>11</v>
      </c>
      <c r="T14" s="143">
        <v>12</v>
      </c>
      <c r="U14" s="143">
        <v>13</v>
      </c>
      <c r="V14" s="143">
        <v>14</v>
      </c>
      <c r="W14" s="143">
        <v>15</v>
      </c>
      <c r="X14" s="143"/>
      <c r="Y14" s="143"/>
      <c r="Z14" s="143">
        <v>16</v>
      </c>
      <c r="AA14" s="143">
        <v>10</v>
      </c>
      <c r="AB14" s="143">
        <v>12</v>
      </c>
      <c r="AC14" s="143">
        <v>14</v>
      </c>
      <c r="AD14" s="143">
        <v>12</v>
      </c>
      <c r="AE14" s="143">
        <v>13</v>
      </c>
      <c r="AF14" s="143">
        <v>14</v>
      </c>
      <c r="AG14" s="143">
        <v>15</v>
      </c>
      <c r="AH14" s="143">
        <v>16</v>
      </c>
      <c r="AI14" s="143"/>
      <c r="AJ14" s="143"/>
      <c r="AK14" s="143"/>
      <c r="AL14" s="143">
        <v>10</v>
      </c>
      <c r="AM14" s="143">
        <v>11</v>
      </c>
      <c r="AN14" s="143">
        <v>12</v>
      </c>
      <c r="AO14" s="143">
        <v>13</v>
      </c>
      <c r="AP14" s="143">
        <v>14</v>
      </c>
      <c r="AQ14" s="143">
        <v>15</v>
      </c>
      <c r="AR14" s="143">
        <v>16</v>
      </c>
      <c r="AS14" s="143"/>
      <c r="AT14" s="143"/>
      <c r="AU14" s="143"/>
      <c r="AV14" s="143">
        <v>10</v>
      </c>
      <c r="AW14" s="143">
        <v>11</v>
      </c>
      <c r="AX14" s="143">
        <v>12</v>
      </c>
      <c r="AY14" s="143">
        <v>13</v>
      </c>
      <c r="AZ14" s="143">
        <v>14</v>
      </c>
      <c r="BA14" s="143">
        <v>15</v>
      </c>
      <c r="BB14" s="143">
        <v>16</v>
      </c>
      <c r="BC14" s="143"/>
      <c r="BD14" s="143"/>
      <c r="BE14" s="143">
        <v>10</v>
      </c>
      <c r="BF14" s="143">
        <v>11</v>
      </c>
      <c r="BG14" s="143">
        <v>12</v>
      </c>
      <c r="BH14" s="143">
        <v>13</v>
      </c>
      <c r="BI14" s="143">
        <v>14</v>
      </c>
      <c r="BJ14" s="143">
        <v>15</v>
      </c>
      <c r="BK14" s="143">
        <v>16</v>
      </c>
    </row>
    <row r="15" spans="2:65" ht="28.5">
      <c r="B15" s="144" t="s">
        <v>77</v>
      </c>
      <c r="C15" s="145" t="s">
        <v>78</v>
      </c>
      <c r="D15" s="146"/>
      <c r="E15" s="146"/>
      <c r="F15" s="146"/>
      <c r="G15" s="146"/>
      <c r="H15" s="147">
        <f>H16+H17+H18+H30</f>
        <v>34440</v>
      </c>
      <c r="I15" s="148">
        <f>J15/H15/12*1000</f>
        <v>78905.913644211381</v>
      </c>
      <c r="J15" s="149">
        <f>J16+J17+J18+J30</f>
        <v>32610235.990879681</v>
      </c>
      <c r="K15" s="146"/>
      <c r="L15" s="146"/>
      <c r="M15" s="146"/>
      <c r="N15" s="146"/>
      <c r="O15" s="147">
        <f>O16+O17+O18+O30</f>
        <v>33905</v>
      </c>
      <c r="P15" s="148">
        <v>79079.529154991891</v>
      </c>
      <c r="Q15" s="149">
        <f>Q16+Q17+Q18+Q30</f>
        <v>32318679.671999998</v>
      </c>
      <c r="R15" s="257"/>
      <c r="S15" s="257"/>
      <c r="T15" s="257"/>
      <c r="U15" s="257"/>
      <c r="V15" s="505">
        <f>V16+V17+V18+V30</f>
        <v>34809</v>
      </c>
      <c r="W15" s="506">
        <f>Z15/V15/12*1000</f>
        <v>81322.281022500072</v>
      </c>
      <c r="X15" s="507">
        <f>X16+X17+X18+X30</f>
        <v>22116302.133437011</v>
      </c>
      <c r="Y15" s="507">
        <f>Y16+Y17+Y18+Y30</f>
        <v>11852665.227909451</v>
      </c>
      <c r="Z15" s="279">
        <f>+X15+Y15</f>
        <v>33968967.361346461</v>
      </c>
      <c r="AA15" s="146"/>
      <c r="AB15" s="146"/>
      <c r="AC15" s="283">
        <f>AC16+AC17+AC18+AC30</f>
        <v>35552</v>
      </c>
      <c r="AD15" s="521"/>
      <c r="AE15" s="521"/>
      <c r="AF15" s="507">
        <f>AF16+AF17+AF18+AF30</f>
        <v>35552</v>
      </c>
      <c r="AG15" s="284">
        <f>AH15/AF15/AH11*1000</f>
        <v>87593.206908190827</v>
      </c>
      <c r="AH15" s="507">
        <f>AH16+AH17+AH18+AH30</f>
        <v>18684682.151999999</v>
      </c>
      <c r="AI15" s="507"/>
      <c r="AJ15" s="284">
        <f>AK15/AF15/AK11*1000</f>
        <v>91589.622311684288</v>
      </c>
      <c r="AK15" s="507">
        <f>AK16+AK17+AK18+AK30</f>
        <v>19537165.51455</v>
      </c>
      <c r="AL15" s="146"/>
      <c r="AM15" s="146"/>
      <c r="AN15" s="146"/>
      <c r="AO15" s="146"/>
      <c r="AP15" s="283">
        <f>AP16+AP17+AP18+AP30</f>
        <v>35860.880000000005</v>
      </c>
      <c r="AQ15" s="284">
        <f>AR15/AP15/AR11*1000</f>
        <v>91139.833307213863</v>
      </c>
      <c r="AR15" s="283">
        <f>AR16+AR17+AR18+AR30</f>
        <v>19610127.752700001</v>
      </c>
      <c r="AS15" s="283">
        <f>AS16+AS17+AS18+AS30</f>
        <v>36484.817600000002</v>
      </c>
      <c r="AT15" s="279">
        <f>+AU15/AS15/AU11*1000</f>
        <v>95213.941494913757</v>
      </c>
      <c r="AU15" s="149">
        <f>AU16+AU17+AU18+AU30</f>
        <v>20843179.730514001</v>
      </c>
      <c r="AV15" s="146"/>
      <c r="AW15" s="146"/>
      <c r="AX15" s="146"/>
      <c r="AY15" s="146"/>
      <c r="AZ15" s="283">
        <f>AZ16+AZ17+AZ18+AZ30</f>
        <v>36804</v>
      </c>
      <c r="BA15" s="284">
        <f>BB15/AZ15/BB11*1000</f>
        <v>97525.244810346703</v>
      </c>
      <c r="BB15" s="283">
        <f>BB16+BB17+BB18+BB30</f>
        <v>21535914.66</v>
      </c>
      <c r="BC15" s="279">
        <f>+BD15/AZ15/BD11*1000</f>
        <v>104126.505407021</v>
      </c>
      <c r="BD15" s="283">
        <f>BD16+BD17+BD18+BD30</f>
        <v>22993631.430000003</v>
      </c>
      <c r="BE15" s="146"/>
      <c r="BF15" s="146"/>
      <c r="BG15" s="146"/>
      <c r="BH15" s="146"/>
      <c r="BI15" s="283">
        <f>BI16+BI17+BI18+BI30</f>
        <v>36804</v>
      </c>
      <c r="BJ15" s="284">
        <f>BK15/BI15/12*1000</f>
        <v>123388.4484566895</v>
      </c>
      <c r="BK15" s="283">
        <f>BK16+BK17+BK18+BK30</f>
        <v>54494261.484000005</v>
      </c>
    </row>
    <row r="16" spans="2:65" s="553" customFormat="1" ht="38.25">
      <c r="B16" s="591">
        <v>1</v>
      </c>
      <c r="C16" s="592" t="s">
        <v>79</v>
      </c>
      <c r="D16" s="558">
        <v>16.399999999999999</v>
      </c>
      <c r="E16" s="531">
        <v>18000</v>
      </c>
      <c r="F16" s="559">
        <v>2.92</v>
      </c>
      <c r="G16" s="532">
        <v>1600</v>
      </c>
      <c r="H16" s="593">
        <v>7454</v>
      </c>
      <c r="I16" s="534">
        <f t="shared" ref="I16:I21" si="0">J16/H16/12*1000</f>
        <v>78800</v>
      </c>
      <c r="J16" s="535">
        <f>(E16*F16+D16*G16)*H16*12/1000</f>
        <v>7048502.4000000004</v>
      </c>
      <c r="K16" s="559">
        <v>15.9</v>
      </c>
      <c r="L16" s="531">
        <f t="shared" ref="L16:L21" si="1">+P$2</f>
        <v>18000</v>
      </c>
      <c r="M16" s="559">
        <v>2.84</v>
      </c>
      <c r="N16" s="532">
        <f t="shared" ref="N16:N21" si="2">+P$3</f>
        <v>1600</v>
      </c>
      <c r="O16" s="582">
        <v>7264</v>
      </c>
      <c r="P16" s="534">
        <v>76472.260324889867</v>
      </c>
      <c r="Q16" s="535">
        <f>(L16*M16+K16*N16)*O16*12/1000</f>
        <v>6673582.0800000001</v>
      </c>
      <c r="R16" s="539">
        <v>15.61</v>
      </c>
      <c r="S16" s="538">
        <v>18000</v>
      </c>
      <c r="T16" s="539">
        <v>2.76</v>
      </c>
      <c r="U16" s="538">
        <v>1600</v>
      </c>
      <c r="V16" s="546">
        <v>7046</v>
      </c>
      <c r="W16" s="541">
        <f>(X16+Y16)/V16/12*1000</f>
        <v>76496</v>
      </c>
      <c r="X16" s="542">
        <f>(S16*T16+R16*U16)*V16*8/1000</f>
        <v>4208209.4079999998</v>
      </c>
      <c r="Y16" s="542">
        <f>(X2*T16+R16*U16)*V16*4/1000</f>
        <v>2259680.3840000001</v>
      </c>
      <c r="Z16" s="543">
        <f>+X16+Y16</f>
        <v>6467889.7919999994</v>
      </c>
      <c r="AA16" s="559">
        <v>16.61</v>
      </c>
      <c r="AB16" s="559">
        <v>2.76</v>
      </c>
      <c r="AC16" s="582">
        <v>6847</v>
      </c>
      <c r="AD16" s="545">
        <f>+$AF$2</f>
        <v>20000</v>
      </c>
      <c r="AE16" s="542">
        <f>+$AF$3</f>
        <v>1600</v>
      </c>
      <c r="AF16" s="546">
        <f>+AC16</f>
        <v>6847</v>
      </c>
      <c r="AG16" s="547">
        <f>AH16/AF16/6*1000</f>
        <v>81776</v>
      </c>
      <c r="AH16" s="548">
        <f>+(AD16*AB16+AA16*AE16)*AF16*0.006</f>
        <v>3359521.6320000002</v>
      </c>
      <c r="AI16" s="548">
        <f>+AF16*$AK$10</f>
        <v>6915.47</v>
      </c>
      <c r="AJ16" s="547">
        <f>AK16/AI16/6*1000</f>
        <v>84267.500000000015</v>
      </c>
      <c r="AK16" s="548">
        <f>+($AJ$2*AB16+AA16*$AJ$3)*AI16*AK$11/1000</f>
        <v>3496496.2093500006</v>
      </c>
      <c r="AL16" s="559">
        <f>+AA16</f>
        <v>16.61</v>
      </c>
      <c r="AM16" s="545">
        <f t="shared" ref="AM16:AM21" si="3">+AP$2</f>
        <v>20000</v>
      </c>
      <c r="AN16" s="559">
        <f>+AB16</f>
        <v>2.76</v>
      </c>
      <c r="AO16" s="532">
        <f t="shared" ref="AO16:AO21" si="4">+AP$3</f>
        <v>1750</v>
      </c>
      <c r="AP16" s="560">
        <f>+AF16*$AK$10</f>
        <v>6915.47</v>
      </c>
      <c r="AQ16" s="547">
        <f>AR16/AP16/6*1000</f>
        <v>84267.500000000015</v>
      </c>
      <c r="AR16" s="548">
        <f>+($AP$2*AN16+AL16*$AP$3)*AP16*AR$11/1000</f>
        <v>3496496.2093500006</v>
      </c>
      <c r="AS16" s="548">
        <f>+AP16*$AU$10</f>
        <v>7053.7794000000004</v>
      </c>
      <c r="AT16" s="550">
        <f>+AU16/AS16/6*1000</f>
        <v>87858</v>
      </c>
      <c r="AU16" s="545">
        <f>+AS16*(AN16*$AT$2+AL16*$AT$3)*$AU$11/1000</f>
        <v>3718385.7031512004</v>
      </c>
      <c r="AV16" s="559">
        <f>+AL16</f>
        <v>16.61</v>
      </c>
      <c r="AW16" s="531">
        <f t="shared" ref="AW16:AW21" si="5">+AZ$2</f>
        <v>21000</v>
      </c>
      <c r="AX16" s="559">
        <f>+AN16</f>
        <v>2.76</v>
      </c>
      <c r="AY16" s="532">
        <f t="shared" ref="AY16:AY21" si="6">+AZ$3</f>
        <v>1900</v>
      </c>
      <c r="AZ16" s="560">
        <f>ROUND(AS16*$AZ$10,0)</f>
        <v>7124</v>
      </c>
      <c r="BA16" s="547">
        <f>BB16/AZ16/6*1000</f>
        <v>89519</v>
      </c>
      <c r="BB16" s="548">
        <f>(AW16*AX16+AV16*AY16)*AZ16*$BB$11/1000</f>
        <v>3826400.1359999999</v>
      </c>
      <c r="BC16" s="608">
        <f>+BD16/AZ16/$BD$11*1000</f>
        <v>95601</v>
      </c>
      <c r="BD16" s="545">
        <f>+AZ16*(AX16*$BC$2+AV16*$BC$3)*$BD$11/1000</f>
        <v>4086369.1439999999</v>
      </c>
      <c r="BE16" s="559">
        <f>+AV16</f>
        <v>16.61</v>
      </c>
      <c r="BF16" s="545">
        <f t="shared" ref="BF16:BF21" si="7">+$BI$2</f>
        <v>25000</v>
      </c>
      <c r="BG16" s="559">
        <f>+AX16</f>
        <v>2.76</v>
      </c>
      <c r="BH16" s="545">
        <f t="shared" ref="BH16:BH21" si="8">$BI$3</f>
        <v>2700</v>
      </c>
      <c r="BI16" s="560">
        <f>+AZ16</f>
        <v>7124</v>
      </c>
      <c r="BJ16" s="547">
        <f>BK16/BI16/12*1000</f>
        <v>113847.00000000003</v>
      </c>
      <c r="BK16" s="545">
        <f>+BI16*($BI$2*BG16+BE16*$BI$3)*0.012</f>
        <v>9732552.3360000011</v>
      </c>
      <c r="BL16" s="552"/>
      <c r="BM16" s="552"/>
    </row>
    <row r="17" spans="2:65" s="553" customFormat="1" ht="38.25">
      <c r="B17" s="591">
        <v>2</v>
      </c>
      <c r="C17" s="592" t="s">
        <v>80</v>
      </c>
      <c r="D17" s="558">
        <v>26.6</v>
      </c>
      <c r="E17" s="531">
        <v>18000</v>
      </c>
      <c r="F17" s="559">
        <v>3.8587087100000002</v>
      </c>
      <c r="G17" s="532">
        <v>1600</v>
      </c>
      <c r="H17" s="593">
        <v>14588</v>
      </c>
      <c r="I17" s="534">
        <f t="shared" si="0"/>
        <v>112016.75678</v>
      </c>
      <c r="J17" s="535">
        <f>(E17*F17+D17*G17)*H17*12/1000</f>
        <v>19609205.374879681</v>
      </c>
      <c r="K17" s="559">
        <v>26.03</v>
      </c>
      <c r="L17" s="531">
        <f t="shared" si="1"/>
        <v>18000</v>
      </c>
      <c r="M17" s="559">
        <v>3.65</v>
      </c>
      <c r="N17" s="532">
        <f t="shared" si="2"/>
        <v>1600</v>
      </c>
      <c r="O17" s="582">
        <v>16223</v>
      </c>
      <c r="P17" s="536">
        <f>Q17/O17</f>
        <v>1288.1759999999999</v>
      </c>
      <c r="Q17" s="535">
        <f>(L17*M17+K17*N17)*O17*12/1000</f>
        <v>20898079.248</v>
      </c>
      <c r="R17" s="539">
        <v>24.39</v>
      </c>
      <c r="S17" s="538">
        <v>18000</v>
      </c>
      <c r="T17" s="539">
        <v>3.72</v>
      </c>
      <c r="U17" s="538">
        <v>1600</v>
      </c>
      <c r="V17" s="546">
        <f>16634+1133</f>
        <v>17767</v>
      </c>
      <c r="W17" s="541">
        <f>(X17+Y17)/V17/12*1000</f>
        <v>108464</v>
      </c>
      <c r="X17" s="542">
        <f>(S17*T17+R17*U17)*V17*8/1000</f>
        <v>15064141.823999999</v>
      </c>
      <c r="Y17" s="542">
        <f>(X2*T17+R17*U17)*V17*4/1000</f>
        <v>8060816.8320000004</v>
      </c>
      <c r="Z17" s="543">
        <f t="shared" ref="Z17:Z41" si="9">+X17+Y17</f>
        <v>23124958.655999999</v>
      </c>
      <c r="AA17" s="559">
        <v>26.32</v>
      </c>
      <c r="AB17" s="559">
        <v>3.76</v>
      </c>
      <c r="AC17" s="582">
        <v>18175</v>
      </c>
      <c r="AD17" s="545">
        <f t="shared" ref="AD17:AD21" si="10">+$AF$2</f>
        <v>20000</v>
      </c>
      <c r="AE17" s="542">
        <f t="shared" ref="AE17:AE21" si="11">+$AF$3</f>
        <v>1600</v>
      </c>
      <c r="AF17" s="546">
        <f t="shared" ref="AF17" si="12">+AC17</f>
        <v>18175</v>
      </c>
      <c r="AG17" s="547">
        <f>AH17/AF17/6*1000</f>
        <v>117312</v>
      </c>
      <c r="AH17" s="548">
        <f t="shared" ref="AH17" si="13">+(AD17*AB17+AA17*AE17)*AF17*0.006</f>
        <v>12792873.6</v>
      </c>
      <c r="AI17" s="548">
        <f>+AF17*$AK$10</f>
        <v>18356.75</v>
      </c>
      <c r="AJ17" s="547">
        <f t="shared" ref="AJ17:AJ18" si="14">AK17/AI17/6*1000</f>
        <v>121259.99999999999</v>
      </c>
      <c r="AK17" s="548">
        <f>+($AJ$2*AB17+AA17*$AJ$3)*AI17*AK$11/1000</f>
        <v>13355637.029999999</v>
      </c>
      <c r="AL17" s="559">
        <f>+AA17</f>
        <v>26.32</v>
      </c>
      <c r="AM17" s="545">
        <f t="shared" si="3"/>
        <v>20000</v>
      </c>
      <c r="AN17" s="559">
        <f>+AB17</f>
        <v>3.76</v>
      </c>
      <c r="AO17" s="532">
        <f t="shared" si="4"/>
        <v>1750</v>
      </c>
      <c r="AP17" s="560">
        <f>+AF17*$AK$10</f>
        <v>18356.75</v>
      </c>
      <c r="AQ17" s="547">
        <f t="shared" ref="AQ17:AQ20" si="15">AR17/AP17/6*1000</f>
        <v>121259.99999999999</v>
      </c>
      <c r="AR17" s="548">
        <f>+($AP$2*AN17+AL17*$AP$3)*AP17*AR$11/1000</f>
        <v>13355637.029999999</v>
      </c>
      <c r="AS17" s="548">
        <f>+AP17*$AU$10</f>
        <v>18723.885000000002</v>
      </c>
      <c r="AT17" s="550">
        <f>+AU17/AS17/6*1000</f>
        <v>126336</v>
      </c>
      <c r="AU17" s="545">
        <f>+AS17*(AN17*$AT$2+AL17*$AT$3)*$AU$11/1000</f>
        <v>14193004.41216</v>
      </c>
      <c r="AV17" s="559">
        <f>+AL17</f>
        <v>26.32</v>
      </c>
      <c r="AW17" s="531">
        <f t="shared" si="5"/>
        <v>21000</v>
      </c>
      <c r="AX17" s="559">
        <f>+AN17</f>
        <v>3.76</v>
      </c>
      <c r="AY17" s="532">
        <f t="shared" si="6"/>
        <v>1900</v>
      </c>
      <c r="AZ17" s="560">
        <f>ROUND(AS17*$AZ$10,0)</f>
        <v>18911</v>
      </c>
      <c r="BA17" s="547">
        <f t="shared" ref="BA17:BA20" si="16">BB17/AZ17/6*1000</f>
        <v>128967.99999999999</v>
      </c>
      <c r="BB17" s="548">
        <f>(AW17*AX17+AV17*AY17)*AZ17*$BB$11/1000</f>
        <v>14633483.088</v>
      </c>
      <c r="BC17" s="608">
        <f t="shared" ref="BC17:BC18" si="17">+BD17/AZ17/$BD$11*1000</f>
        <v>137992</v>
      </c>
      <c r="BD17" s="545">
        <f>+AZ17*(AX17*$BC$2+AV17*$BC$3)*$BD$11/1000</f>
        <v>15657400.272</v>
      </c>
      <c r="BE17" s="559">
        <f>+AV17</f>
        <v>26.32</v>
      </c>
      <c r="BF17" s="545">
        <f t="shared" si="7"/>
        <v>25000</v>
      </c>
      <c r="BG17" s="559">
        <f>+AX17</f>
        <v>3.76</v>
      </c>
      <c r="BH17" s="545">
        <f t="shared" si="8"/>
        <v>2700</v>
      </c>
      <c r="BI17" s="560">
        <f>+AZ17</f>
        <v>18911</v>
      </c>
      <c r="BJ17" s="547">
        <f t="shared" ref="BJ17:BJ20" si="18">BK17/BI17/12*1000</f>
        <v>165064</v>
      </c>
      <c r="BK17" s="545">
        <f>+BI17*($BI$2*BG17+BE17*$BI$3)*0.012</f>
        <v>37458303.648000002</v>
      </c>
      <c r="BL17" s="552"/>
    </row>
    <row r="18" spans="2:65" s="552" customFormat="1" ht="25.5">
      <c r="B18" s="529">
        <v>3</v>
      </c>
      <c r="C18" s="523" t="s">
        <v>81</v>
      </c>
      <c r="D18" s="530"/>
      <c r="E18" s="531">
        <v>18000</v>
      </c>
      <c r="F18" s="530"/>
      <c r="G18" s="532">
        <v>1600</v>
      </c>
      <c r="H18" s="533">
        <f>H19+H20+H21+H22+H26</f>
        <v>10743</v>
      </c>
      <c r="I18" s="534">
        <f t="shared" si="0"/>
        <v>38280.302894908309</v>
      </c>
      <c r="J18" s="535">
        <f>J19+J20+J21+J22+J26</f>
        <v>4934943.5279999999</v>
      </c>
      <c r="K18" s="530"/>
      <c r="L18" s="531">
        <f t="shared" si="1"/>
        <v>18000</v>
      </c>
      <c r="M18" s="530"/>
      <c r="N18" s="532">
        <f t="shared" si="2"/>
        <v>1600</v>
      </c>
      <c r="O18" s="533">
        <f>O19+O20+O21+O22+O26</f>
        <v>9118</v>
      </c>
      <c r="P18" s="536">
        <f>Q18/O18</f>
        <v>434.4309094099583</v>
      </c>
      <c r="Q18" s="530">
        <f>Q19+Q20+Q21+Q22+Q26</f>
        <v>3961141.0319999997</v>
      </c>
      <c r="R18" s="537">
        <v>0</v>
      </c>
      <c r="S18" s="538">
        <v>18000</v>
      </c>
      <c r="T18" s="539">
        <v>0</v>
      </c>
      <c r="U18" s="538">
        <v>1600</v>
      </c>
      <c r="V18" s="540">
        <f>V19+V20+V21+V22+V26</f>
        <v>8990</v>
      </c>
      <c r="W18" s="541"/>
      <c r="X18" s="542">
        <f>X19+X20+X21+X22+X26</f>
        <v>2474040.0780774076</v>
      </c>
      <c r="Y18" s="542">
        <f>Y19+Y20+Y21+Y22+Y26</f>
        <v>1334162.7100430042</v>
      </c>
      <c r="Z18" s="543">
        <f t="shared" si="9"/>
        <v>3808202.7881204118</v>
      </c>
      <c r="AA18" s="530"/>
      <c r="AB18" s="530"/>
      <c r="AC18" s="544">
        <f>AC19+AC20+AC21+AC22+AC26</f>
        <v>9272</v>
      </c>
      <c r="AD18" s="545"/>
      <c r="AE18" s="542"/>
      <c r="AF18" s="544">
        <f>AF19+AF20+AF21+AF22+AF26</f>
        <v>9272</v>
      </c>
      <c r="AG18" s="547">
        <f>AH18/AF18/6*1000</f>
        <v>38530.58886971527</v>
      </c>
      <c r="AH18" s="544">
        <f>AH19+AH20+AH21+AH22+AH26</f>
        <v>2143533.7199999997</v>
      </c>
      <c r="AI18" s="544">
        <f>AI19+AI20+AI21+AI22+AI26</f>
        <v>9330.66</v>
      </c>
      <c r="AJ18" s="547">
        <f t="shared" si="14"/>
        <v>40739.002299944485</v>
      </c>
      <c r="AK18" s="544">
        <f>AK19+AK20+AK21+AK22+AK26</f>
        <v>2280730.6751999999</v>
      </c>
      <c r="AL18" s="532"/>
      <c r="AM18" s="545">
        <f t="shared" si="3"/>
        <v>20000</v>
      </c>
      <c r="AN18" s="530"/>
      <c r="AO18" s="532">
        <f t="shared" si="4"/>
        <v>1750</v>
      </c>
      <c r="AP18" s="544">
        <f>AP19+AP20+AP21+AP22+AP26</f>
        <v>9330.66</v>
      </c>
      <c r="AQ18" s="547">
        <f t="shared" si="15"/>
        <v>42042.272703645831</v>
      </c>
      <c r="AR18" s="544">
        <f>AR19+AR20+AR21+AR22+AR26</f>
        <v>2353692.91335</v>
      </c>
      <c r="AS18" s="544">
        <f>AS19+AS20+AS21+AS22+AS26</f>
        <v>9449.1532000000007</v>
      </c>
      <c r="AT18" s="550">
        <f t="shared" ref="AT18" si="19">+AU18/AP18/6*1000</f>
        <v>44835.247295882618</v>
      </c>
      <c r="AU18" s="530">
        <f>AU19+AU20+AU21+AU22+AU26</f>
        <v>2510054.6912028003</v>
      </c>
      <c r="AV18" s="530"/>
      <c r="AW18" s="531">
        <f t="shared" si="5"/>
        <v>21000</v>
      </c>
      <c r="AX18" s="530"/>
      <c r="AY18" s="532">
        <f t="shared" si="6"/>
        <v>1900</v>
      </c>
      <c r="AZ18" s="544">
        <f>AZ19+AZ20+AZ21+AZ22+AZ26</f>
        <v>9511</v>
      </c>
      <c r="BA18" s="547">
        <f t="shared" si="16"/>
        <v>46332.399537377765</v>
      </c>
      <c r="BB18" s="549">
        <f>BB19+BB20+BB21+BB22+BB26</f>
        <v>2644004.7119999998</v>
      </c>
      <c r="BC18" s="543">
        <f t="shared" si="17"/>
        <v>48869.902323625276</v>
      </c>
      <c r="BD18" s="549">
        <f>BD19+BD20+BD21+BD22+BD26</f>
        <v>2788809.8459999999</v>
      </c>
      <c r="BE18" s="530"/>
      <c r="BF18" s="545">
        <f t="shared" si="7"/>
        <v>25000</v>
      </c>
      <c r="BG18" s="530"/>
      <c r="BH18" s="545">
        <f t="shared" si="8"/>
        <v>2700</v>
      </c>
      <c r="BI18" s="544">
        <f>BI19+BI20+BI21+BI22+BI26</f>
        <v>9511</v>
      </c>
      <c r="BJ18" s="547">
        <f t="shared" si="18"/>
        <v>54399.776574492695</v>
      </c>
      <c r="BK18" s="549">
        <f>BK19+BK20+BK21+BK22+BK26</f>
        <v>6208755.2999999998</v>
      </c>
      <c r="BM18" s="553"/>
    </row>
    <row r="19" spans="2:65" s="527" customFormat="1" ht="38.25">
      <c r="B19" s="571">
        <v>3.1</v>
      </c>
      <c r="C19" s="572" t="s">
        <v>82</v>
      </c>
      <c r="D19" s="66">
        <v>20</v>
      </c>
      <c r="E19" s="64">
        <v>18000</v>
      </c>
      <c r="F19" s="68">
        <v>3.88</v>
      </c>
      <c r="G19" s="65">
        <v>1600</v>
      </c>
      <c r="H19" s="574">
        <v>160</v>
      </c>
      <c r="I19" s="524">
        <f t="shared" si="0"/>
        <v>71288</v>
      </c>
      <c r="J19" s="66">
        <f>((E19*F19+D19*G19)*70%)*H19*12/1000</f>
        <v>136872.95999999999</v>
      </c>
      <c r="K19" s="66">
        <v>20</v>
      </c>
      <c r="L19" s="64">
        <f t="shared" si="1"/>
        <v>18000</v>
      </c>
      <c r="M19" s="68">
        <v>3.88</v>
      </c>
      <c r="N19" s="65">
        <f t="shared" si="2"/>
        <v>1600</v>
      </c>
      <c r="O19" s="524">
        <v>102</v>
      </c>
      <c r="P19" s="524">
        <v>46150</v>
      </c>
      <c r="Q19" s="66">
        <f>((L19*M19+K19*N19)*70%)*O19*12/1000</f>
        <v>87256.512000000002</v>
      </c>
      <c r="R19" s="512">
        <v>20</v>
      </c>
      <c r="S19" s="509">
        <v>18000</v>
      </c>
      <c r="T19" s="508">
        <v>2.4832989690721647</v>
      </c>
      <c r="U19" s="509">
        <v>1600</v>
      </c>
      <c r="V19" s="510">
        <v>95</v>
      </c>
      <c r="W19" s="511">
        <f>(X19+Y19)/V19/12*1000</f>
        <v>54848.43986254296</v>
      </c>
      <c r="X19" s="262">
        <f>((S19*T19+R19*U19)*70%)*V19*8/1000</f>
        <v>40804.070927835055</v>
      </c>
      <c r="Y19" s="258">
        <f>((X2*T19+R19*U19)*70%)*V19*4/1000</f>
        <v>21723.150515463916</v>
      </c>
      <c r="Z19" s="258">
        <f t="shared" si="9"/>
        <v>62527.221443298971</v>
      </c>
      <c r="AA19" s="66">
        <v>20</v>
      </c>
      <c r="AB19" s="68">
        <v>2.79</v>
      </c>
      <c r="AC19" s="524">
        <v>97</v>
      </c>
      <c r="AD19" s="252">
        <f t="shared" si="10"/>
        <v>20000</v>
      </c>
      <c r="AE19" s="258">
        <f t="shared" si="11"/>
        <v>1600</v>
      </c>
      <c r="AF19" s="510">
        <f>+AC19</f>
        <v>97</v>
      </c>
      <c r="AG19" s="286">
        <f>AH19/AF19/6*1000</f>
        <v>61459.999999999985</v>
      </c>
      <c r="AH19" s="282">
        <f>+(AD19*AB19+AA19*AE19)*AF19*0.006*70%</f>
        <v>35769.719999999994</v>
      </c>
      <c r="AI19" s="282">
        <f>+AF19*$AK$10</f>
        <v>97.97</v>
      </c>
      <c r="AJ19" s="252">
        <f t="shared" ref="AJ19:AJ21" si="20">+AK19/V19/6*1000</f>
        <v>65547.086315789478</v>
      </c>
      <c r="AK19" s="252">
        <f>+(AD19*AB19+AA19*$AJ$3)*AI19*0.006*70%</f>
        <v>37361.839200000002</v>
      </c>
      <c r="AL19" s="259">
        <v>20.3</v>
      </c>
      <c r="AM19" s="252">
        <f t="shared" si="3"/>
        <v>20000</v>
      </c>
      <c r="AN19" s="68">
        <f>+AB19</f>
        <v>2.79</v>
      </c>
      <c r="AO19" s="65">
        <f t="shared" si="4"/>
        <v>1750</v>
      </c>
      <c r="AP19" s="289">
        <f>+AF19*$AK$10</f>
        <v>97.97</v>
      </c>
      <c r="AQ19" s="286">
        <f>AR19/AP19/6*1000</f>
        <v>63927.5</v>
      </c>
      <c r="AR19" s="282">
        <f>+($AP$2*AN19+AL19*$AP$3)*AP19*AR$11/1000*70%</f>
        <v>37577.86305</v>
      </c>
      <c r="AS19" s="282">
        <f>+AP19*$AU$10</f>
        <v>99.929400000000001</v>
      </c>
      <c r="AT19" s="526">
        <f>+AU19/AS19/6*1000</f>
        <v>66591</v>
      </c>
      <c r="AU19" s="252">
        <f>+AS19*(AN19*$AT$2+AL19*$AT$3)*$AU$11/1000*70%</f>
        <v>39926.392052399999</v>
      </c>
      <c r="AV19" s="259">
        <f>+AL19</f>
        <v>20.3</v>
      </c>
      <c r="AW19" s="64">
        <f t="shared" si="5"/>
        <v>21000</v>
      </c>
      <c r="AX19" s="68">
        <f>+AN19</f>
        <v>2.79</v>
      </c>
      <c r="AY19" s="65">
        <f t="shared" si="6"/>
        <v>1900</v>
      </c>
      <c r="AZ19" s="285">
        <f>ROUND(AS19*$AZ$10,0)</f>
        <v>101</v>
      </c>
      <c r="BA19" s="286">
        <f t="shared" si="16"/>
        <v>68011.999999999985</v>
      </c>
      <c r="BB19" s="282">
        <f>+($AZ$2*AX19+AV19*$AZ$3)*AZ19*BB$11/1000*70%</f>
        <v>41215.271999999997</v>
      </c>
      <c r="BC19" s="289">
        <f t="shared" ref="BC19:BC21" si="21">+BD19/AZ19/12*1000</f>
        <v>36403.499999999993</v>
      </c>
      <c r="BD19" s="252">
        <f>+AZ19*(AX19*$BC$2+AV19*$BC$3)*$BD$11/1000*70%</f>
        <v>44121.041999999994</v>
      </c>
      <c r="BE19" s="66">
        <v>20</v>
      </c>
      <c r="BF19" s="252">
        <f t="shared" si="7"/>
        <v>25000</v>
      </c>
      <c r="BG19" s="68">
        <f>+AX19</f>
        <v>2.79</v>
      </c>
      <c r="BH19" s="252">
        <f t="shared" si="8"/>
        <v>2700</v>
      </c>
      <c r="BI19" s="289">
        <f>+AZ19</f>
        <v>101</v>
      </c>
      <c r="BJ19" s="286">
        <f t="shared" si="18"/>
        <v>86625</v>
      </c>
      <c r="BK19" s="252">
        <f>+BI19*($BI$2*BG19+BE19*$BI$3)*0.012*70%</f>
        <v>104989.5</v>
      </c>
      <c r="BM19" s="528"/>
    </row>
    <row r="20" spans="2:65" s="527" customFormat="1" ht="38.25">
      <c r="B20" s="571">
        <v>3.2</v>
      </c>
      <c r="C20" s="572" t="s">
        <v>83</v>
      </c>
      <c r="D20" s="66">
        <v>20</v>
      </c>
      <c r="E20" s="64">
        <v>18000</v>
      </c>
      <c r="F20" s="68">
        <v>3.82</v>
      </c>
      <c r="G20" s="65">
        <v>1600</v>
      </c>
      <c r="H20" s="574">
        <v>1579</v>
      </c>
      <c r="I20" s="524">
        <f t="shared" si="0"/>
        <v>60455.999999999993</v>
      </c>
      <c r="J20" s="66">
        <f>((E20*F20+D20*G20)*60%)*H20*12/1000</f>
        <v>1145520.2879999999</v>
      </c>
      <c r="K20" s="66">
        <v>20</v>
      </c>
      <c r="L20" s="64">
        <f t="shared" si="1"/>
        <v>18000</v>
      </c>
      <c r="M20" s="68">
        <v>3.79</v>
      </c>
      <c r="N20" s="65">
        <f t="shared" si="2"/>
        <v>1600</v>
      </c>
      <c r="O20" s="524">
        <v>896</v>
      </c>
      <c r="P20" s="524">
        <v>48398.401785714283</v>
      </c>
      <c r="Q20" s="66">
        <f>((L20*M20+K20*N20)*60%)*O20*12/1000</f>
        <v>646539.26399999997</v>
      </c>
      <c r="R20" s="512">
        <v>20</v>
      </c>
      <c r="S20" s="509">
        <v>18000</v>
      </c>
      <c r="T20" s="508">
        <v>2.4303526734926049</v>
      </c>
      <c r="U20" s="509">
        <v>1600</v>
      </c>
      <c r="V20" s="510">
        <v>835</v>
      </c>
      <c r="W20" s="511">
        <f t="shared" ref="W20:W21" si="22">(X20+Y20)/V20/12*1000</f>
        <v>46419.949943117164</v>
      </c>
      <c r="X20" s="262">
        <f>((S20*T20+R20*U20)*60%)*V20*8/1000</f>
        <v>303591.36327645043</v>
      </c>
      <c r="Y20" s="258">
        <f>((X2*T20+R20*U20)*60%)*V20*4/1000</f>
        <v>161536.53515358362</v>
      </c>
      <c r="Z20" s="258">
        <f t="shared" si="9"/>
        <v>465127.89843003405</v>
      </c>
      <c r="AA20" s="66">
        <v>20</v>
      </c>
      <c r="AB20" s="68">
        <v>2.74</v>
      </c>
      <c r="AC20" s="524">
        <v>879</v>
      </c>
      <c r="AD20" s="252">
        <f t="shared" si="10"/>
        <v>20000</v>
      </c>
      <c r="AE20" s="258">
        <f t="shared" si="11"/>
        <v>1600</v>
      </c>
      <c r="AF20" s="510">
        <f t="shared" ref="AF20:AF21" si="23">+AC20</f>
        <v>879</v>
      </c>
      <c r="AG20" s="286">
        <f t="shared" ref="AG20" si="24">AH20/AF20/6*1000</f>
        <v>52079.999999999993</v>
      </c>
      <c r="AH20" s="282">
        <f>+(AD20*AB20+AA20*AE20)*AF20*0.006*60%</f>
        <v>274669.92</v>
      </c>
      <c r="AI20" s="282">
        <f t="shared" ref="AI20:AI21" si="25">+AF20*$AK$10</f>
        <v>887.79</v>
      </c>
      <c r="AJ20" s="252">
        <f t="shared" si="20"/>
        <v>57286.377485029938</v>
      </c>
      <c r="AK20" s="252">
        <f>+(AD20*AB20+AA20*$AJ$3)*AI20*0.006*60%</f>
        <v>287004.7512</v>
      </c>
      <c r="AL20" s="259">
        <v>20.3</v>
      </c>
      <c r="AM20" s="252">
        <f t="shared" si="3"/>
        <v>20000</v>
      </c>
      <c r="AN20" s="68">
        <f t="shared" ref="AN20:AN21" si="26">+AB20</f>
        <v>2.74</v>
      </c>
      <c r="AO20" s="65">
        <f t="shared" si="4"/>
        <v>1750</v>
      </c>
      <c r="AP20" s="289">
        <f t="shared" ref="AP20:AP21" si="27">+AF20*$AK$10</f>
        <v>887.79</v>
      </c>
      <c r="AQ20" s="286">
        <f t="shared" si="15"/>
        <v>54195</v>
      </c>
      <c r="AR20" s="282">
        <f>+($AP$2*AN20+AL20*$AP$3)*AP20*AR$11/1000*60%</f>
        <v>288682.67430000001</v>
      </c>
      <c r="AS20" s="282">
        <f t="shared" ref="AS20:AS21" si="28">+AP20*$AU$10</f>
        <v>905.54579999999999</v>
      </c>
      <c r="AT20" s="526">
        <f>+AU20/AS20/6*1000</f>
        <v>56447.999999999985</v>
      </c>
      <c r="AU20" s="252">
        <f>+AS20*(AN20*$AT$2+AL20*$AT$3)*$AU$11/1000*60%</f>
        <v>306697.49591039994</v>
      </c>
      <c r="AV20" s="259">
        <f t="shared" ref="AV20:AV21" si="29">+AL20</f>
        <v>20.3</v>
      </c>
      <c r="AW20" s="64">
        <f t="shared" si="5"/>
        <v>21000</v>
      </c>
      <c r="AX20" s="68">
        <f t="shared" ref="AX20:AX21" si="30">+AN20</f>
        <v>2.74</v>
      </c>
      <c r="AY20" s="65">
        <f t="shared" si="6"/>
        <v>1900</v>
      </c>
      <c r="AZ20" s="285">
        <f t="shared" ref="AZ20:AZ25" si="31">ROUND(AS20*$AZ$10,0)</f>
        <v>915</v>
      </c>
      <c r="BA20" s="286">
        <f t="shared" si="16"/>
        <v>57666.000000000007</v>
      </c>
      <c r="BB20" s="282">
        <f>+($AZ$2*AX20+AV20*$AZ$3)*AZ20*BB$11/1000*60%</f>
        <v>316586.34000000003</v>
      </c>
      <c r="BC20" s="289">
        <f t="shared" si="21"/>
        <v>30873</v>
      </c>
      <c r="BD20" s="252">
        <f>+AZ20*(AX20*$BC$2+AV20*$BC$3)*$BD$11/1000*60%</f>
        <v>338985.54</v>
      </c>
      <c r="BE20" s="66">
        <v>20</v>
      </c>
      <c r="BF20" s="252">
        <f t="shared" si="7"/>
        <v>25000</v>
      </c>
      <c r="BG20" s="68">
        <f t="shared" ref="BG20:BG21" si="32">+AX20</f>
        <v>2.74</v>
      </c>
      <c r="BH20" s="252">
        <f t="shared" si="8"/>
        <v>2700</v>
      </c>
      <c r="BI20" s="289">
        <f>+AZ20</f>
        <v>915</v>
      </c>
      <c r="BJ20" s="286">
        <f t="shared" si="18"/>
        <v>73500</v>
      </c>
      <c r="BK20" s="252">
        <f>+BI20*($BI$2*BG20+BE20*$BI$3)*0.012*60%</f>
        <v>807030</v>
      </c>
      <c r="BM20" s="528"/>
    </row>
    <row r="21" spans="2:65" s="527" customFormat="1" ht="38.25">
      <c r="B21" s="571">
        <v>3.3</v>
      </c>
      <c r="C21" s="572" t="s">
        <v>84</v>
      </c>
      <c r="D21" s="66">
        <v>20</v>
      </c>
      <c r="E21" s="64">
        <v>18000</v>
      </c>
      <c r="F21" s="68">
        <v>3.82</v>
      </c>
      <c r="G21" s="65">
        <v>1600</v>
      </c>
      <c r="H21" s="574">
        <v>1462</v>
      </c>
      <c r="I21" s="524">
        <f t="shared" si="0"/>
        <v>40304</v>
      </c>
      <c r="J21" s="66">
        <f>((E21*F21+D21*G21)*40%)*H21*12/1000</f>
        <v>707093.37600000005</v>
      </c>
      <c r="K21" s="66">
        <v>20</v>
      </c>
      <c r="L21" s="64">
        <f t="shared" si="1"/>
        <v>18000</v>
      </c>
      <c r="M21" s="68">
        <v>3.8</v>
      </c>
      <c r="N21" s="65">
        <f t="shared" si="2"/>
        <v>1600</v>
      </c>
      <c r="O21" s="524">
        <v>1051</v>
      </c>
      <c r="P21" s="524">
        <v>32820.988582302569</v>
      </c>
      <c r="Q21" s="66">
        <f>((L21*M21+K21*N21)*40%)*O21*12/1000</f>
        <v>506497.92</v>
      </c>
      <c r="R21" s="512">
        <v>20</v>
      </c>
      <c r="S21" s="509">
        <v>18000</v>
      </c>
      <c r="T21" s="508">
        <v>2.4114691151919865</v>
      </c>
      <c r="U21" s="509">
        <v>1600</v>
      </c>
      <c r="V21" s="510">
        <v>1230</v>
      </c>
      <c r="W21" s="511">
        <f t="shared" si="22"/>
        <v>30805.636060100165</v>
      </c>
      <c r="X21" s="262">
        <f>((S21*T21+R21*U21)*40%)*V21*8/1000</f>
        <v>296799.76387312188</v>
      </c>
      <c r="Y21" s="258">
        <f>((X2*T21+R21*U21)*40%)*V21*4/1000</f>
        <v>157891.4243739566</v>
      </c>
      <c r="Z21" s="258">
        <f t="shared" si="9"/>
        <v>454691.18824707845</v>
      </c>
      <c r="AA21" s="66">
        <v>20</v>
      </c>
      <c r="AB21" s="68">
        <v>2.94</v>
      </c>
      <c r="AC21" s="524">
        <v>1399</v>
      </c>
      <c r="AD21" s="252">
        <f t="shared" si="10"/>
        <v>20000</v>
      </c>
      <c r="AE21" s="258">
        <f t="shared" si="11"/>
        <v>1600</v>
      </c>
      <c r="AF21" s="510">
        <f t="shared" si="23"/>
        <v>1399</v>
      </c>
      <c r="AG21" s="286">
        <f>AH21/AF21/6*1000</f>
        <v>36320</v>
      </c>
      <c r="AH21" s="282">
        <f>+(AD21*AB21+AA21*AE21)*AF21*0.006*40%</f>
        <v>304870.08</v>
      </c>
      <c r="AI21" s="282">
        <f t="shared" si="25"/>
        <v>1412.99</v>
      </c>
      <c r="AJ21" s="252">
        <f t="shared" si="20"/>
        <v>43101.938861788614</v>
      </c>
      <c r="AK21" s="252">
        <f>+(AD21*AB21+AA21*$AJ$3)*AI21*0.006*40%</f>
        <v>318092.3088</v>
      </c>
      <c r="AL21" s="259">
        <v>20.3</v>
      </c>
      <c r="AM21" s="252">
        <f t="shared" si="3"/>
        <v>20000</v>
      </c>
      <c r="AN21" s="68">
        <f t="shared" si="26"/>
        <v>2.94</v>
      </c>
      <c r="AO21" s="65">
        <f t="shared" si="4"/>
        <v>1750</v>
      </c>
      <c r="AP21" s="289">
        <f t="shared" si="27"/>
        <v>1412.99</v>
      </c>
      <c r="AQ21" s="286">
        <f>+AJ9</f>
        <v>38000</v>
      </c>
      <c r="AR21" s="282">
        <f>+AP21*AQ21*$AR$11/1000</f>
        <v>322161.71999999997</v>
      </c>
      <c r="AS21" s="282">
        <f t="shared" si="28"/>
        <v>1441.2498000000001</v>
      </c>
      <c r="AT21" s="526">
        <f>+AT6</f>
        <v>40300</v>
      </c>
      <c r="AU21" s="282">
        <f>+AS21*AT21*$AR$11/1000</f>
        <v>348494.20164000004</v>
      </c>
      <c r="AV21" s="259">
        <f t="shared" si="29"/>
        <v>20.3</v>
      </c>
      <c r="AW21" s="64">
        <f t="shared" si="5"/>
        <v>21000</v>
      </c>
      <c r="AX21" s="68">
        <f t="shared" si="30"/>
        <v>2.94</v>
      </c>
      <c r="AY21" s="65">
        <f t="shared" si="6"/>
        <v>1900</v>
      </c>
      <c r="AZ21" s="285">
        <f t="shared" si="31"/>
        <v>1456</v>
      </c>
      <c r="BA21" s="286">
        <v>42700</v>
      </c>
      <c r="BB21" s="288">
        <f>AZ21*BA21*$BB$11/1000</f>
        <v>373027.2</v>
      </c>
      <c r="BC21" s="289">
        <f t="shared" si="21"/>
        <v>21462</v>
      </c>
      <c r="BD21" s="252">
        <f>+AZ21*(AX21*$BC$2+AV21*$BC$3)*$BD$11/1000*40%</f>
        <v>374984.06400000001</v>
      </c>
      <c r="BE21" s="66">
        <v>20</v>
      </c>
      <c r="BF21" s="252">
        <f t="shared" si="7"/>
        <v>25000</v>
      </c>
      <c r="BG21" s="68">
        <f t="shared" si="32"/>
        <v>2.94</v>
      </c>
      <c r="BH21" s="252">
        <f t="shared" si="8"/>
        <v>2700</v>
      </c>
      <c r="BI21" s="289">
        <f>+AZ21</f>
        <v>1456</v>
      </c>
      <c r="BJ21" s="286">
        <f>BK21/BI21/12*1000</f>
        <v>51000</v>
      </c>
      <c r="BK21" s="252">
        <f>+BI21*($BI$2*BG21+BE21*$BI$3)*0.012*40%</f>
        <v>891072</v>
      </c>
      <c r="BM21" s="528"/>
    </row>
    <row r="22" spans="2:65" s="552" customFormat="1" ht="25.5">
      <c r="B22" s="565">
        <v>3.4</v>
      </c>
      <c r="C22" s="523" t="s">
        <v>85</v>
      </c>
      <c r="D22" s="530"/>
      <c r="E22" s="531"/>
      <c r="F22" s="530"/>
      <c r="G22" s="532"/>
      <c r="H22" s="550">
        <f>H23+H24+H25</f>
        <v>3343</v>
      </c>
      <c r="I22" s="566"/>
      <c r="J22" s="550">
        <f>J23+J24+J25</f>
        <v>1168128</v>
      </c>
      <c r="K22" s="530"/>
      <c r="L22" s="531"/>
      <c r="M22" s="530"/>
      <c r="N22" s="532"/>
      <c r="O22" s="567">
        <f>O23+O24+O25</f>
        <v>3528</v>
      </c>
      <c r="P22" s="566"/>
      <c r="Q22" s="550">
        <f>Q23+Q24+Q25</f>
        <v>1228075.2719999999</v>
      </c>
      <c r="R22" s="554"/>
      <c r="S22" s="555"/>
      <c r="T22" s="556"/>
      <c r="U22" s="538"/>
      <c r="V22" s="568">
        <f>V23+V24+V25</f>
        <v>3580</v>
      </c>
      <c r="W22" s="541"/>
      <c r="X22" s="569">
        <f>X23+X24+X25</f>
        <v>908480</v>
      </c>
      <c r="Y22" s="569">
        <f>Y23+Y24+Y25</f>
        <v>497200</v>
      </c>
      <c r="Z22" s="542">
        <f t="shared" si="9"/>
        <v>1405680</v>
      </c>
      <c r="AA22" s="530"/>
      <c r="AB22" s="530"/>
      <c r="AC22" s="567">
        <f>AC23+AC24+AC25</f>
        <v>3491</v>
      </c>
      <c r="AD22" s="567"/>
      <c r="AE22" s="567"/>
      <c r="AF22" s="567">
        <f t="shared" ref="AF22:AI22" si="33">AF23+AF24+AF25</f>
        <v>3491</v>
      </c>
      <c r="AG22" s="567"/>
      <c r="AH22" s="567">
        <f t="shared" si="33"/>
        <v>731022</v>
      </c>
      <c r="AI22" s="567">
        <f t="shared" si="33"/>
        <v>3525.91</v>
      </c>
      <c r="AJ22" s="551">
        <f>+AK22/V22/12*1000</f>
        <v>19717.231284916201</v>
      </c>
      <c r="AK22" s="551">
        <f>AK23+AK24+AK25</f>
        <v>847052.25600000005</v>
      </c>
      <c r="AL22" s="530"/>
      <c r="AM22" s="545"/>
      <c r="AN22" s="530"/>
      <c r="AO22" s="532"/>
      <c r="AP22" s="570">
        <f>AP23+AP24+AP25</f>
        <v>3525.91</v>
      </c>
      <c r="AQ22" s="557"/>
      <c r="AR22" s="551">
        <f>AR23+AR24+AR25</f>
        <v>847052.25600000005</v>
      </c>
      <c r="AS22" s="551">
        <f>AS23+AS24+AS25</f>
        <v>3596.4282000000003</v>
      </c>
      <c r="AT22" s="550">
        <f t="shared" ref="AT22" si="34">+AU22/AH22/12*1000</f>
        <v>104.43884288024165</v>
      </c>
      <c r="AU22" s="550">
        <f>AU23+AU24+AU25</f>
        <v>916165.10160000017</v>
      </c>
      <c r="AV22" s="530"/>
      <c r="AW22" s="531"/>
      <c r="AX22" s="530"/>
      <c r="AY22" s="532"/>
      <c r="AZ22" s="570">
        <f>AZ23+AZ24+AZ25</f>
        <v>3633</v>
      </c>
      <c r="BA22" s="557"/>
      <c r="BB22" s="551">
        <f>BB23+BB24+BB25</f>
        <v>980514</v>
      </c>
      <c r="BC22" s="551">
        <f t="shared" ref="BC22" si="35">+BD22/AR22/12*1000</f>
        <v>102.30325152454348</v>
      </c>
      <c r="BD22" s="551">
        <f>BD23+BD24+BD25</f>
        <v>1039874.4</v>
      </c>
      <c r="BE22" s="530"/>
      <c r="BF22" s="531"/>
      <c r="BG22" s="530"/>
      <c r="BH22" s="532"/>
      <c r="BI22" s="570">
        <f>BI23+BI24+BI25</f>
        <v>3633</v>
      </c>
      <c r="BJ22" s="557"/>
      <c r="BK22" s="551">
        <f>BK23+BK24+BK25</f>
        <v>2204812.7999999998</v>
      </c>
      <c r="BM22" s="553"/>
    </row>
    <row r="23" spans="2:65" s="527" customFormat="1">
      <c r="B23" s="571" t="s">
        <v>86</v>
      </c>
      <c r="C23" s="572" t="s">
        <v>87</v>
      </c>
      <c r="D23" s="69" t="s">
        <v>88</v>
      </c>
      <c r="E23" s="69" t="s">
        <v>88</v>
      </c>
      <c r="F23" s="69" t="s">
        <v>88</v>
      </c>
      <c r="G23" s="69" t="s">
        <v>88</v>
      </c>
      <c r="H23" s="70">
        <v>198</v>
      </c>
      <c r="I23" s="573">
        <v>40000</v>
      </c>
      <c r="J23" s="66">
        <f>H23*I23*12/1000</f>
        <v>95040</v>
      </c>
      <c r="K23" s="69" t="s">
        <v>88</v>
      </c>
      <c r="L23" s="69" t="s">
        <v>88</v>
      </c>
      <c r="M23" s="69" t="s">
        <v>88</v>
      </c>
      <c r="N23" s="69" t="s">
        <v>88</v>
      </c>
      <c r="O23" s="70">
        <v>190</v>
      </c>
      <c r="P23" s="573">
        <v>40059.863157894739</v>
      </c>
      <c r="Q23" s="66">
        <f>O23*P23*12/1000</f>
        <v>91336.487999999998</v>
      </c>
      <c r="R23" s="260" t="s">
        <v>88</v>
      </c>
      <c r="S23" s="260" t="s">
        <v>88</v>
      </c>
      <c r="T23" s="513" t="s">
        <v>88</v>
      </c>
      <c r="U23" s="260" t="s">
        <v>88</v>
      </c>
      <c r="V23" s="510">
        <v>175</v>
      </c>
      <c r="W23" s="514">
        <v>43000</v>
      </c>
      <c r="X23" s="262">
        <f>V23*W23*8/1000</f>
        <v>60200</v>
      </c>
      <c r="Y23" s="262">
        <f>$X$4*V23*4/1000</f>
        <v>32200</v>
      </c>
      <c r="Z23" s="258">
        <f t="shared" si="9"/>
        <v>92400</v>
      </c>
      <c r="AA23" s="69" t="s">
        <v>88</v>
      </c>
      <c r="AB23" s="69" t="s">
        <v>88</v>
      </c>
      <c r="AC23" s="70">
        <v>187</v>
      </c>
      <c r="AD23" s="260" t="s">
        <v>88</v>
      </c>
      <c r="AE23" s="261" t="s">
        <v>88</v>
      </c>
      <c r="AF23" s="510">
        <f>+AC23</f>
        <v>187</v>
      </c>
      <c r="AG23" s="287">
        <f>+AF$4</f>
        <v>46000</v>
      </c>
      <c r="AH23" s="288">
        <f>AF23*AG23*AH$11/1000</f>
        <v>51612</v>
      </c>
      <c r="AI23" s="282">
        <f>+AF23*$AK$10</f>
        <v>188.87</v>
      </c>
      <c r="AJ23" s="288">
        <f>+AJ4</f>
        <v>50600</v>
      </c>
      <c r="AK23" s="609">
        <f>+AI23*AJ23*AK$11/1000</f>
        <v>57340.932000000001</v>
      </c>
      <c r="AL23" s="69" t="s">
        <v>88</v>
      </c>
      <c r="AM23" s="525" t="s">
        <v>88</v>
      </c>
      <c r="AN23" s="69" t="s">
        <v>88</v>
      </c>
      <c r="AO23" s="69" t="s">
        <v>88</v>
      </c>
      <c r="AP23" s="289">
        <f>+AF23*$AK$10</f>
        <v>188.87</v>
      </c>
      <c r="AQ23" s="287">
        <f>+AP4</f>
        <v>50600</v>
      </c>
      <c r="AR23" s="288">
        <f>AP23*AQ23*$AR$11/1000</f>
        <v>57340.932000000001</v>
      </c>
      <c r="AS23" s="282">
        <f>+AP23*$AU$10</f>
        <v>192.6474</v>
      </c>
      <c r="AT23" s="253">
        <f>+AT4</f>
        <v>53600</v>
      </c>
      <c r="AU23" s="253">
        <f>+AS23*AT23*$AU$11/1000</f>
        <v>61955.403840000006</v>
      </c>
      <c r="AV23" s="69" t="s">
        <v>88</v>
      </c>
      <c r="AW23" s="69" t="s">
        <v>88</v>
      </c>
      <c r="AX23" s="69" t="s">
        <v>88</v>
      </c>
      <c r="AY23" s="69" t="s">
        <v>88</v>
      </c>
      <c r="AZ23" s="285">
        <f t="shared" si="31"/>
        <v>195</v>
      </c>
      <c r="BA23" s="287">
        <f>+AZ$4</f>
        <v>56800</v>
      </c>
      <c r="BB23" s="288">
        <f>AZ23*BA23*$BB$11/1000</f>
        <v>66456</v>
      </c>
      <c r="BC23" s="288">
        <f>+BC4</f>
        <v>60200</v>
      </c>
      <c r="BD23" s="288">
        <f>+AZ23*BC23*$BD$11/1000</f>
        <v>70434</v>
      </c>
      <c r="BE23" s="69" t="s">
        <v>88</v>
      </c>
      <c r="BF23" s="69" t="s">
        <v>88</v>
      </c>
      <c r="BG23" s="69" t="s">
        <v>88</v>
      </c>
      <c r="BH23" s="69" t="s">
        <v>88</v>
      </c>
      <c r="BI23" s="289">
        <f>+AZ23</f>
        <v>195</v>
      </c>
      <c r="BJ23" s="287">
        <f>+BI4</f>
        <v>63800</v>
      </c>
      <c r="BK23" s="288">
        <f>BI23*BJ23*12/1000</f>
        <v>149292</v>
      </c>
      <c r="BM23" s="528"/>
    </row>
    <row r="24" spans="2:65" s="527" customFormat="1">
      <c r="B24" s="571" t="s">
        <v>89</v>
      </c>
      <c r="C24" s="572" t="s">
        <v>90</v>
      </c>
      <c r="D24" s="69" t="s">
        <v>88</v>
      </c>
      <c r="E24" s="69" t="s">
        <v>88</v>
      </c>
      <c r="F24" s="69" t="s">
        <v>88</v>
      </c>
      <c r="G24" s="69" t="s">
        <v>88</v>
      </c>
      <c r="H24" s="70">
        <v>1503</v>
      </c>
      <c r="I24" s="573">
        <v>30000</v>
      </c>
      <c r="J24" s="66">
        <f>H24*I24*12/1000</f>
        <v>541080</v>
      </c>
      <c r="K24" s="69" t="s">
        <v>88</v>
      </c>
      <c r="L24" s="69" t="s">
        <v>88</v>
      </c>
      <c r="M24" s="69" t="s">
        <v>88</v>
      </c>
      <c r="N24" s="69" t="s">
        <v>88</v>
      </c>
      <c r="O24" s="70">
        <v>1397</v>
      </c>
      <c r="P24" s="573">
        <v>30283.258410880459</v>
      </c>
      <c r="Q24" s="66">
        <f>O24*P24*12/1000</f>
        <v>507668.54399999999</v>
      </c>
      <c r="R24" s="260" t="s">
        <v>88</v>
      </c>
      <c r="S24" s="260" t="s">
        <v>88</v>
      </c>
      <c r="T24" s="513" t="s">
        <v>88</v>
      </c>
      <c r="U24" s="260" t="s">
        <v>88</v>
      </c>
      <c r="V24" s="510">
        <v>1295</v>
      </c>
      <c r="W24" s="514">
        <v>33000</v>
      </c>
      <c r="X24" s="262">
        <f>V24*W24*8/1000</f>
        <v>341880</v>
      </c>
      <c r="Y24" s="262">
        <f>$X$5*V24*4/1000</f>
        <v>186480</v>
      </c>
      <c r="Z24" s="258">
        <f t="shared" si="9"/>
        <v>528360</v>
      </c>
      <c r="AA24" s="69" t="s">
        <v>88</v>
      </c>
      <c r="AB24" s="69" t="s">
        <v>88</v>
      </c>
      <c r="AC24" s="70">
        <v>1401</v>
      </c>
      <c r="AD24" s="260" t="s">
        <v>88</v>
      </c>
      <c r="AE24" s="261" t="s">
        <v>88</v>
      </c>
      <c r="AF24" s="510">
        <f t="shared" ref="AF24:AF25" si="36">+AC24</f>
        <v>1401</v>
      </c>
      <c r="AG24" s="287">
        <f>+AF$5</f>
        <v>36000</v>
      </c>
      <c r="AH24" s="288">
        <f t="shared" ref="AH24:AH25" si="37">AF24*AG24*AH$11/1000</f>
        <v>302616</v>
      </c>
      <c r="AI24" s="282">
        <f t="shared" ref="AI24:AI25" si="38">+AF24*$AK$10</f>
        <v>1415.01</v>
      </c>
      <c r="AJ24" s="288">
        <f>+AJ5</f>
        <v>41400</v>
      </c>
      <c r="AK24" s="609">
        <f t="shared" ref="AK24:AK25" si="39">+AI24*AJ24*AK$11/1000</f>
        <v>351488.484</v>
      </c>
      <c r="AL24" s="69" t="s">
        <v>88</v>
      </c>
      <c r="AM24" s="525" t="s">
        <v>88</v>
      </c>
      <c r="AN24" s="69" t="s">
        <v>88</v>
      </c>
      <c r="AO24" s="69" t="s">
        <v>88</v>
      </c>
      <c r="AP24" s="289">
        <f t="shared" ref="AP24:AP25" si="40">+AF24*$AK$10</f>
        <v>1415.01</v>
      </c>
      <c r="AQ24" s="287">
        <f t="shared" ref="AQ24:AQ25" si="41">+AP5</f>
        <v>41400</v>
      </c>
      <c r="AR24" s="288">
        <f t="shared" ref="AR24:AR25" si="42">AP24*AQ24*$AR$11/1000</f>
        <v>351488.484</v>
      </c>
      <c r="AS24" s="282">
        <f t="shared" ref="AS24:AS25" si="43">+AP24*$AU$10</f>
        <v>1443.3102000000001</v>
      </c>
      <c r="AT24" s="253">
        <f t="shared" ref="AT24:AT25" si="44">+AT5</f>
        <v>43900</v>
      </c>
      <c r="AU24" s="253">
        <f>+AS24*AT24*$AU$11/1000</f>
        <v>380167.90668000007</v>
      </c>
      <c r="AV24" s="69" t="s">
        <v>88</v>
      </c>
      <c r="AW24" s="69" t="s">
        <v>88</v>
      </c>
      <c r="AX24" s="69" t="s">
        <v>88</v>
      </c>
      <c r="AY24" s="69" t="s">
        <v>88</v>
      </c>
      <c r="AZ24" s="285">
        <f t="shared" si="31"/>
        <v>1458</v>
      </c>
      <c r="BA24" s="287">
        <f>+AZ$5</f>
        <v>46500</v>
      </c>
      <c r="BB24" s="288">
        <f t="shared" ref="BB24:BB25" si="45">AZ24*BA24*$BB$11/1000</f>
        <v>406782</v>
      </c>
      <c r="BC24" s="288">
        <f>+BC5</f>
        <v>49300</v>
      </c>
      <c r="BD24" s="288">
        <f t="shared" ref="BD24:BD25" si="46">+AZ24*BC24*$BD$11/1000</f>
        <v>431276.4</v>
      </c>
      <c r="BE24" s="69" t="s">
        <v>88</v>
      </c>
      <c r="BF24" s="69" t="s">
        <v>88</v>
      </c>
      <c r="BG24" s="69" t="s">
        <v>88</v>
      </c>
      <c r="BH24" s="69" t="s">
        <v>88</v>
      </c>
      <c r="BI24" s="289">
        <f>+AZ24</f>
        <v>1458</v>
      </c>
      <c r="BJ24" s="287">
        <f>+BI5</f>
        <v>52300</v>
      </c>
      <c r="BK24" s="288">
        <f>BI24*BJ24*12/1000</f>
        <v>915040.8</v>
      </c>
      <c r="BM24" s="528"/>
    </row>
    <row r="25" spans="2:65" s="527" customFormat="1">
      <c r="B25" s="571" t="s">
        <v>91</v>
      </c>
      <c r="C25" s="572" t="s">
        <v>92</v>
      </c>
      <c r="D25" s="69" t="s">
        <v>88</v>
      </c>
      <c r="E25" s="69" t="s">
        <v>88</v>
      </c>
      <c r="F25" s="69" t="s">
        <v>88</v>
      </c>
      <c r="G25" s="69" t="s">
        <v>88</v>
      </c>
      <c r="H25" s="70">
        <v>1642</v>
      </c>
      <c r="I25" s="573">
        <v>27000</v>
      </c>
      <c r="J25" s="66">
        <f>H25*I25*12/1000</f>
        <v>532008</v>
      </c>
      <c r="K25" s="69" t="s">
        <v>88</v>
      </c>
      <c r="L25" s="69" t="s">
        <v>88</v>
      </c>
      <c r="M25" s="69" t="s">
        <v>88</v>
      </c>
      <c r="N25" s="69" t="s">
        <v>88</v>
      </c>
      <c r="O25" s="70">
        <v>1941</v>
      </c>
      <c r="P25" s="573">
        <v>27007.995878413189</v>
      </c>
      <c r="Q25" s="66">
        <f>O25*P25*12/1000</f>
        <v>629070.24</v>
      </c>
      <c r="R25" s="260" t="s">
        <v>88</v>
      </c>
      <c r="S25" s="260" t="s">
        <v>88</v>
      </c>
      <c r="T25" s="513" t="s">
        <v>88</v>
      </c>
      <c r="U25" s="260" t="s">
        <v>88</v>
      </c>
      <c r="V25" s="510">
        <v>2110</v>
      </c>
      <c r="W25" s="514">
        <v>30000</v>
      </c>
      <c r="X25" s="262">
        <f>V25*W25*8/1000</f>
        <v>506400</v>
      </c>
      <c r="Y25" s="262">
        <f>$X$6*V25*4/1000</f>
        <v>278520</v>
      </c>
      <c r="Z25" s="258">
        <f t="shared" si="9"/>
        <v>784920</v>
      </c>
      <c r="AA25" s="69" t="s">
        <v>88</v>
      </c>
      <c r="AB25" s="69" t="s">
        <v>88</v>
      </c>
      <c r="AC25" s="70">
        <v>1903</v>
      </c>
      <c r="AD25" s="260" t="s">
        <v>88</v>
      </c>
      <c r="AE25" s="261" t="s">
        <v>88</v>
      </c>
      <c r="AF25" s="510">
        <f t="shared" si="36"/>
        <v>1903</v>
      </c>
      <c r="AG25" s="287">
        <f>+AF$6</f>
        <v>33000</v>
      </c>
      <c r="AH25" s="288">
        <f t="shared" si="37"/>
        <v>376794</v>
      </c>
      <c r="AI25" s="282">
        <f t="shared" si="38"/>
        <v>1922.03</v>
      </c>
      <c r="AJ25" s="288">
        <f>+AJ6</f>
        <v>38000</v>
      </c>
      <c r="AK25" s="609">
        <f t="shared" si="39"/>
        <v>438222.84</v>
      </c>
      <c r="AL25" s="69" t="s">
        <v>88</v>
      </c>
      <c r="AM25" s="525" t="s">
        <v>88</v>
      </c>
      <c r="AN25" s="69" t="s">
        <v>88</v>
      </c>
      <c r="AO25" s="69" t="s">
        <v>88</v>
      </c>
      <c r="AP25" s="289">
        <f t="shared" si="40"/>
        <v>1922.03</v>
      </c>
      <c r="AQ25" s="287">
        <f t="shared" si="41"/>
        <v>38000</v>
      </c>
      <c r="AR25" s="288">
        <f t="shared" si="42"/>
        <v>438222.84</v>
      </c>
      <c r="AS25" s="282">
        <f t="shared" si="43"/>
        <v>1960.4706000000001</v>
      </c>
      <c r="AT25" s="253">
        <f t="shared" si="44"/>
        <v>40300</v>
      </c>
      <c r="AU25" s="253">
        <f>+AS25*AT25*$AU$11/1000</f>
        <v>474041.79108000005</v>
      </c>
      <c r="AV25" s="69" t="s">
        <v>88</v>
      </c>
      <c r="AW25" s="69" t="s">
        <v>88</v>
      </c>
      <c r="AX25" s="69" t="s">
        <v>88</v>
      </c>
      <c r="AY25" s="69" t="s">
        <v>88</v>
      </c>
      <c r="AZ25" s="285">
        <f t="shared" si="31"/>
        <v>1980</v>
      </c>
      <c r="BA25" s="287">
        <f>+AZ$6</f>
        <v>42700</v>
      </c>
      <c r="BB25" s="288">
        <f t="shared" si="45"/>
        <v>507276</v>
      </c>
      <c r="BC25" s="288">
        <f>+BC6</f>
        <v>45300</v>
      </c>
      <c r="BD25" s="288">
        <f t="shared" si="46"/>
        <v>538164</v>
      </c>
      <c r="BE25" s="69" t="s">
        <v>88</v>
      </c>
      <c r="BF25" s="69" t="s">
        <v>88</v>
      </c>
      <c r="BG25" s="69" t="s">
        <v>88</v>
      </c>
      <c r="BH25" s="69" t="s">
        <v>88</v>
      </c>
      <c r="BI25" s="289">
        <f>+AZ25</f>
        <v>1980</v>
      </c>
      <c r="BJ25" s="287">
        <f>+BI6</f>
        <v>48000</v>
      </c>
      <c r="BK25" s="288">
        <f>BI25*BJ25*12/1000</f>
        <v>1140480</v>
      </c>
      <c r="BM25" s="528"/>
    </row>
    <row r="26" spans="2:65" s="552" customFormat="1" ht="38.25">
      <c r="B26" s="565">
        <v>3.5</v>
      </c>
      <c r="C26" s="523" t="s">
        <v>93</v>
      </c>
      <c r="D26" s="530"/>
      <c r="E26" s="531"/>
      <c r="F26" s="530"/>
      <c r="G26" s="532"/>
      <c r="H26" s="580">
        <f>H27+H28+H29</f>
        <v>4199</v>
      </c>
      <c r="I26" s="581"/>
      <c r="J26" s="530">
        <f>J27+J28+J29</f>
        <v>1777328.9040000001</v>
      </c>
      <c r="K26" s="530"/>
      <c r="L26" s="531"/>
      <c r="M26" s="530"/>
      <c r="N26" s="532"/>
      <c r="O26" s="575">
        <f>O27+O28+O29</f>
        <v>3541</v>
      </c>
      <c r="P26" s="581"/>
      <c r="Q26" s="530">
        <f>Q27+Q28+Q29</f>
        <v>1492772.064</v>
      </c>
      <c r="R26" s="554"/>
      <c r="S26" s="555"/>
      <c r="T26" s="556"/>
      <c r="U26" s="538"/>
      <c r="V26" s="569">
        <f>V27+V28+V29</f>
        <v>3250</v>
      </c>
      <c r="W26" s="582"/>
      <c r="X26" s="564">
        <f>X27+X28+X29</f>
        <v>924364.88</v>
      </c>
      <c r="Y26" s="564">
        <f>Y27+Y28+Y29</f>
        <v>495811.6</v>
      </c>
      <c r="Z26" s="542">
        <f t="shared" si="9"/>
        <v>1420176.48</v>
      </c>
      <c r="AA26" s="530"/>
      <c r="AB26" s="530"/>
      <c r="AC26" s="540">
        <f>AC27+AC28+AC29</f>
        <v>3406</v>
      </c>
      <c r="AD26" s="554"/>
      <c r="AE26" s="542"/>
      <c r="AF26" s="568">
        <f>AF27+AF28+AF29</f>
        <v>3406</v>
      </c>
      <c r="AG26" s="557"/>
      <c r="AH26" s="568">
        <f>AH27+AH28+AH29</f>
        <v>797202</v>
      </c>
      <c r="AI26" s="568">
        <f>AI27+AI28+AI29</f>
        <v>3406</v>
      </c>
      <c r="AJ26" s="568">
        <f t="shared" ref="AJ26" si="47">AJ27+AJ28+AJ29</f>
        <v>141329.6551724138</v>
      </c>
      <c r="AK26" s="549">
        <f>AK27+AK28+AK29</f>
        <v>791219.52</v>
      </c>
      <c r="AL26" s="530"/>
      <c r="AM26" s="545"/>
      <c r="AN26" s="530"/>
      <c r="AO26" s="532"/>
      <c r="AP26" s="551">
        <f>AP27+AP28+AP29</f>
        <v>3406</v>
      </c>
      <c r="AQ26" s="557"/>
      <c r="AR26" s="549">
        <f>AR27+AR28+AR29</f>
        <v>858218.39999999991</v>
      </c>
      <c r="AS26" s="549">
        <f>AS27+AS28+AS29</f>
        <v>3406</v>
      </c>
      <c r="AT26" s="550">
        <f t="shared" ref="AT26:AT34" si="48">+AU26/AH26/12*1000</f>
        <v>93.950623555886722</v>
      </c>
      <c r="AU26" s="530">
        <f>AU27+AU28+AU29</f>
        <v>898771.5</v>
      </c>
      <c r="AV26" s="530"/>
      <c r="AW26" s="531"/>
      <c r="AX26" s="530"/>
      <c r="AY26" s="532"/>
      <c r="AZ26" s="551">
        <f>AZ27+AZ28+AZ29</f>
        <v>3406</v>
      </c>
      <c r="BA26" s="557"/>
      <c r="BB26" s="549">
        <f>BB27+BB28+BB29</f>
        <v>932661.89999999991</v>
      </c>
      <c r="BC26" s="551">
        <f t="shared" ref="BC26" si="49">+BD26/AR26/12*1000</f>
        <v>96.211407259504128</v>
      </c>
      <c r="BD26" s="549">
        <f>BD27+BD28+BD29</f>
        <v>990844.8</v>
      </c>
      <c r="BE26" s="530"/>
      <c r="BF26" s="531"/>
      <c r="BG26" s="530"/>
      <c r="BH26" s="532"/>
      <c r="BI26" s="551">
        <f>BI27+BI28+BI29</f>
        <v>3406</v>
      </c>
      <c r="BJ26" s="557"/>
      <c r="BK26" s="549">
        <f>BK27+BK28+BK29</f>
        <v>2200851</v>
      </c>
      <c r="BM26" s="553"/>
    </row>
    <row r="27" spans="2:65" s="527" customFormat="1">
      <c r="B27" s="571" t="s">
        <v>94</v>
      </c>
      <c r="C27" s="572" t="s">
        <v>87</v>
      </c>
      <c r="D27" s="69">
        <v>20</v>
      </c>
      <c r="E27" s="64">
        <v>18000</v>
      </c>
      <c r="F27" s="69">
        <v>1.89</v>
      </c>
      <c r="G27" s="65">
        <v>1600</v>
      </c>
      <c r="H27" s="70">
        <v>265</v>
      </c>
      <c r="I27" s="573">
        <f>+J27/H27*1000/12</f>
        <v>46214</v>
      </c>
      <c r="J27" s="66">
        <f>((E27*F27+D27*G27)*70%)*H27*12/1000</f>
        <v>146960.51999999999</v>
      </c>
      <c r="K27" s="69">
        <v>20</v>
      </c>
      <c r="L27" s="64">
        <f>+P$2</f>
        <v>18000</v>
      </c>
      <c r="M27" s="69">
        <v>1.89</v>
      </c>
      <c r="N27" s="65">
        <f>+P$3</f>
        <v>1600</v>
      </c>
      <c r="O27" s="70">
        <v>222</v>
      </c>
      <c r="P27" s="573">
        <f>+Q27/O27*1000/12</f>
        <v>46214</v>
      </c>
      <c r="Q27" s="66">
        <f>((L27*M27+K27*N27)*70%)*O27*12/1000</f>
        <v>123114.09600000001</v>
      </c>
      <c r="R27" s="512">
        <v>20</v>
      </c>
      <c r="S27" s="509">
        <v>18000</v>
      </c>
      <c r="T27" s="508">
        <v>1.89</v>
      </c>
      <c r="U27" s="509">
        <v>1600</v>
      </c>
      <c r="V27" s="510">
        <v>195</v>
      </c>
      <c r="W27" s="511">
        <f t="shared" ref="W27:W28" si="50">(X27+Y27)/V27/12*1000</f>
        <v>47096</v>
      </c>
      <c r="X27" s="262">
        <f>((S27*T27+R27*U27)*70%)*V27*8/1000</f>
        <v>72093.84</v>
      </c>
      <c r="Y27" s="262">
        <f>((R27*U27+$X$2*T27)*70%)*V27*4/1000</f>
        <v>38110.800000000003</v>
      </c>
      <c r="Z27" s="258">
        <f t="shared" si="9"/>
        <v>110204.64</v>
      </c>
      <c r="AA27" s="69">
        <v>20</v>
      </c>
      <c r="AB27" s="518">
        <v>1.89</v>
      </c>
      <c r="AC27" s="70">
        <v>210</v>
      </c>
      <c r="AD27" s="252">
        <f t="shared" ref="AD27:AD33" si="51">+$AF$2</f>
        <v>20000</v>
      </c>
      <c r="AE27" s="258">
        <f t="shared" ref="AE27:AE33" si="52">+$AF$3</f>
        <v>1600</v>
      </c>
      <c r="AF27" s="510">
        <f>+AC27</f>
        <v>210</v>
      </c>
      <c r="AG27" s="286">
        <f>AH27/AF27/6*1000</f>
        <v>48859.999999999993</v>
      </c>
      <c r="AH27" s="282">
        <f>+(AD27*AB27+AA27*AE27)*AF27*0.006*70%</f>
        <v>61563.6</v>
      </c>
      <c r="AI27" s="282">
        <f>+AC27</f>
        <v>210</v>
      </c>
      <c r="AJ27" s="252">
        <f>+AK27/V27/6*1000</f>
        <v>54879.999999999993</v>
      </c>
      <c r="AK27" s="252">
        <f>+(AD27*AB27+AA27*$AJ$3)*AI27*0.006*70%</f>
        <v>64209.599999999999</v>
      </c>
      <c r="AL27" s="69">
        <v>20</v>
      </c>
      <c r="AM27" s="252">
        <f>+AP$2</f>
        <v>20000</v>
      </c>
      <c r="AN27" s="518">
        <v>1.89</v>
      </c>
      <c r="AO27" s="65">
        <f>+AP$3</f>
        <v>1750</v>
      </c>
      <c r="AP27" s="289">
        <f>+AF27</f>
        <v>210</v>
      </c>
      <c r="AQ27" s="286">
        <f>+AP4</f>
        <v>50600</v>
      </c>
      <c r="AR27" s="288">
        <f>AP27*AQ27*$AR$11/1000</f>
        <v>63756</v>
      </c>
      <c r="AS27" s="288">
        <f>+AP27</f>
        <v>210</v>
      </c>
      <c r="AT27" s="526">
        <f>+AU27/AS27/6*1000</f>
        <v>52982.999999999985</v>
      </c>
      <c r="AU27" s="252">
        <f>+AS27*(AN27*$AT$2+AL27*$AT$3)*$AU$11/1000*70%</f>
        <v>66758.579999999987</v>
      </c>
      <c r="AV27" s="69">
        <v>20</v>
      </c>
      <c r="AW27" s="64">
        <f>+AZ$2</f>
        <v>21000</v>
      </c>
      <c r="AX27" s="518">
        <v>1.89</v>
      </c>
      <c r="AY27" s="65">
        <f>+AZ$3</f>
        <v>1900</v>
      </c>
      <c r="AZ27" s="285">
        <f>+AS27</f>
        <v>210</v>
      </c>
      <c r="BA27" s="286">
        <f t="shared" ref="BA27:BA28" si="53">BB27/AZ27/6*1000</f>
        <v>54382.999999999985</v>
      </c>
      <c r="BB27" s="282">
        <f>+($AZ$2*AX27+AV27*$AZ$3)*AZ27*BB$11/1000*70%</f>
        <v>68522.579999999987</v>
      </c>
      <c r="BC27" s="289">
        <f>+BC4</f>
        <v>60200</v>
      </c>
      <c r="BD27" s="288">
        <f>+AZ27*BC27*$BD$11/1000</f>
        <v>75852</v>
      </c>
      <c r="BE27" s="69">
        <v>20</v>
      </c>
      <c r="BF27" s="252">
        <f>+$BI$2</f>
        <v>25000</v>
      </c>
      <c r="BG27" s="518">
        <v>1.89</v>
      </c>
      <c r="BH27" s="252">
        <f>$BI$3</f>
        <v>2700</v>
      </c>
      <c r="BI27" s="289">
        <f>+AZ27</f>
        <v>210</v>
      </c>
      <c r="BJ27" s="287">
        <f>+BK27/BI27*1000/12</f>
        <v>70875</v>
      </c>
      <c r="BK27" s="288">
        <f>((BF27*BG27+BE27*BH27)*70%)*BI27*12/1000</f>
        <v>178605</v>
      </c>
      <c r="BM27" s="528"/>
    </row>
    <row r="28" spans="2:65" s="527" customFormat="1">
      <c r="B28" s="571" t="s">
        <v>95</v>
      </c>
      <c r="C28" s="572" t="s">
        <v>90</v>
      </c>
      <c r="D28" s="69">
        <v>20</v>
      </c>
      <c r="E28" s="64">
        <v>18000</v>
      </c>
      <c r="F28" s="69">
        <v>1.89</v>
      </c>
      <c r="G28" s="65">
        <v>1600</v>
      </c>
      <c r="H28" s="70">
        <v>2411</v>
      </c>
      <c r="I28" s="573">
        <f>+J28/H28*1000/12</f>
        <v>39612.000000000007</v>
      </c>
      <c r="J28" s="66">
        <f>((E28*F28+D28*G28)*60%)*H28*12/1000</f>
        <v>1146054.3840000001</v>
      </c>
      <c r="K28" s="69">
        <v>20</v>
      </c>
      <c r="L28" s="64">
        <f>+P$2</f>
        <v>18000</v>
      </c>
      <c r="M28" s="69">
        <v>1.89</v>
      </c>
      <c r="N28" s="65">
        <f>+P$3</f>
        <v>1600</v>
      </c>
      <c r="O28" s="70">
        <v>1997</v>
      </c>
      <c r="P28" s="573">
        <f>+Q28/O28*1000/12</f>
        <v>39612</v>
      </c>
      <c r="Q28" s="66">
        <f>((L28*M28+K28*N28)*60%)*O28*12/1000</f>
        <v>949261.96799999999</v>
      </c>
      <c r="R28" s="512">
        <v>20</v>
      </c>
      <c r="S28" s="509">
        <v>18000</v>
      </c>
      <c r="T28" s="508">
        <v>1.89</v>
      </c>
      <c r="U28" s="509">
        <v>1600</v>
      </c>
      <c r="V28" s="510">
        <v>1740</v>
      </c>
      <c r="W28" s="511">
        <f t="shared" si="50"/>
        <v>40368</v>
      </c>
      <c r="X28" s="262">
        <f>((S28*T28+R28*U28)*60%)*V28*8/1000</f>
        <v>551399.04</v>
      </c>
      <c r="Y28" s="262">
        <f>(($X$2*T28+R28*U28)*60%)*V28*4/1000</f>
        <v>291484.79999999999</v>
      </c>
      <c r="Z28" s="258">
        <f t="shared" si="9"/>
        <v>842883.84000000008</v>
      </c>
      <c r="AA28" s="69">
        <v>20</v>
      </c>
      <c r="AB28" s="518">
        <v>1.89</v>
      </c>
      <c r="AC28" s="70">
        <v>1930</v>
      </c>
      <c r="AD28" s="252">
        <f t="shared" si="51"/>
        <v>20000</v>
      </c>
      <c r="AE28" s="258">
        <f t="shared" si="52"/>
        <v>1600</v>
      </c>
      <c r="AF28" s="510">
        <f t="shared" ref="AF28:AF29" si="54">+AC28</f>
        <v>1930</v>
      </c>
      <c r="AG28" s="286">
        <f t="shared" ref="AG28" si="55">AH28/AF28/6*1000</f>
        <v>41879.999999999993</v>
      </c>
      <c r="AH28" s="282">
        <f>+(AD28*AB28+AA28*AE28)*AF28*0.006*60%</f>
        <v>484970.39999999997</v>
      </c>
      <c r="AI28" s="282">
        <f t="shared" ref="AI28:AI29" si="56">+AC28</f>
        <v>1930</v>
      </c>
      <c r="AJ28" s="252">
        <f>+AK28/V28/6*1000</f>
        <v>48449.65517241379</v>
      </c>
      <c r="AK28" s="252">
        <f>+(AD28*AB28+AA28*$AJ$3)*AI28*0.006*60%</f>
        <v>505814.39999999997</v>
      </c>
      <c r="AL28" s="69">
        <v>20</v>
      </c>
      <c r="AM28" s="252">
        <f>+AP$2</f>
        <v>20000</v>
      </c>
      <c r="AN28" s="518">
        <v>1.89</v>
      </c>
      <c r="AO28" s="65">
        <f>+AP$3</f>
        <v>1750</v>
      </c>
      <c r="AP28" s="289">
        <f>+AF28</f>
        <v>1930</v>
      </c>
      <c r="AQ28" s="286">
        <f t="shared" ref="AQ28" si="57">AR28/AP28/6*1000</f>
        <v>43680</v>
      </c>
      <c r="AR28" s="282">
        <f>+($AP$2*AN28+AL28*$AP$3)*AP28*AR$11/1000*60%</f>
        <v>505814.39999999997</v>
      </c>
      <c r="AS28" s="288">
        <f t="shared" ref="AS28:AS29" si="58">+AP28</f>
        <v>1930</v>
      </c>
      <c r="AT28" s="526">
        <f>+AU28/AS28/6*1000</f>
        <v>45413.999999999993</v>
      </c>
      <c r="AU28" s="252">
        <f>+AS28*(AN28*$AT$2+AL28*$AT$3)*$AU$11/1000*60%</f>
        <v>525894.12</v>
      </c>
      <c r="AV28" s="69">
        <v>20</v>
      </c>
      <c r="AW28" s="64">
        <f>+AZ$2</f>
        <v>21000</v>
      </c>
      <c r="AX28" s="518">
        <v>1.89</v>
      </c>
      <c r="AY28" s="65">
        <f>+AZ$3</f>
        <v>1900</v>
      </c>
      <c r="AZ28" s="285">
        <f t="shared" ref="AZ28:AZ29" si="59">+AS28</f>
        <v>1930</v>
      </c>
      <c r="BA28" s="286">
        <f t="shared" si="53"/>
        <v>46614.000000000007</v>
      </c>
      <c r="BB28" s="282">
        <f>+($AZ$2*AX28+AV28*$AZ$3)*AZ28*BB$11/1000*60%</f>
        <v>539790.12</v>
      </c>
      <c r="BC28" s="289">
        <f t="shared" ref="BC28:BC29" si="60">+BC5</f>
        <v>49300</v>
      </c>
      <c r="BD28" s="288">
        <f t="shared" ref="BD28:BD29" si="61">+AZ28*BC28*$BD$11/1000</f>
        <v>570894</v>
      </c>
      <c r="BE28" s="69">
        <v>20</v>
      </c>
      <c r="BF28" s="252">
        <f>+$BI$2</f>
        <v>25000</v>
      </c>
      <c r="BG28" s="518">
        <v>1.89</v>
      </c>
      <c r="BH28" s="252">
        <f>$BI$3</f>
        <v>2700</v>
      </c>
      <c r="BI28" s="289">
        <f>+AZ28</f>
        <v>1930</v>
      </c>
      <c r="BJ28" s="287">
        <f>+BK28/BI28*1000/12</f>
        <v>60750</v>
      </c>
      <c r="BK28" s="288">
        <f>((BF28*BG28+BE28*BH28)*60%)*BI28*12/1000</f>
        <v>1406970</v>
      </c>
      <c r="BM28" s="528"/>
    </row>
    <row r="29" spans="2:65" s="527" customFormat="1">
      <c r="B29" s="571" t="s">
        <v>96</v>
      </c>
      <c r="C29" s="572" t="s">
        <v>92</v>
      </c>
      <c r="D29" s="69">
        <v>20</v>
      </c>
      <c r="E29" s="64">
        <v>18000</v>
      </c>
      <c r="F29" s="69">
        <v>1.89</v>
      </c>
      <c r="G29" s="65">
        <v>1600</v>
      </c>
      <c r="H29" s="70">
        <v>1523</v>
      </c>
      <c r="I29" s="573">
        <v>26500</v>
      </c>
      <c r="J29" s="66">
        <f>+H29*I29/1000*12</f>
        <v>484314</v>
      </c>
      <c r="K29" s="69">
        <v>20</v>
      </c>
      <c r="L29" s="64">
        <f>+P$2</f>
        <v>18000</v>
      </c>
      <c r="M29" s="69">
        <v>1.89</v>
      </c>
      <c r="N29" s="65">
        <f>+P$3</f>
        <v>1600</v>
      </c>
      <c r="O29" s="70">
        <v>1322</v>
      </c>
      <c r="P29" s="573">
        <f>+Q29/O29*1000/12</f>
        <v>26500</v>
      </c>
      <c r="Q29" s="66">
        <f>IF(((L29*M29+K29*N29)*40%)&lt;P$1,O29*P$1/1000*12,((L29*M29+K29*N29)*40%)/1000*12)</f>
        <v>420396</v>
      </c>
      <c r="R29" s="512">
        <v>20</v>
      </c>
      <c r="S29" s="509">
        <v>18000</v>
      </c>
      <c r="T29" s="508">
        <v>1.89</v>
      </c>
      <c r="U29" s="509">
        <v>1600</v>
      </c>
      <c r="V29" s="510">
        <v>1315</v>
      </c>
      <c r="W29" s="511">
        <v>31600</v>
      </c>
      <c r="X29" s="262">
        <f>+V29*28600*0.008</f>
        <v>300872</v>
      </c>
      <c r="Y29" s="262">
        <f>+V29*W29*4/1000</f>
        <v>166216</v>
      </c>
      <c r="Z29" s="258">
        <f t="shared" si="9"/>
        <v>467088</v>
      </c>
      <c r="AA29" s="69">
        <v>20</v>
      </c>
      <c r="AB29" s="518">
        <v>1.89</v>
      </c>
      <c r="AC29" s="70">
        <v>1266</v>
      </c>
      <c r="AD29" s="252">
        <f t="shared" si="51"/>
        <v>20000</v>
      </c>
      <c r="AE29" s="258">
        <f t="shared" si="52"/>
        <v>1600</v>
      </c>
      <c r="AF29" s="510">
        <f t="shared" si="54"/>
        <v>1266</v>
      </c>
      <c r="AG29" s="286">
        <f>+AG25</f>
        <v>33000</v>
      </c>
      <c r="AH29" s="288">
        <f t="shared" ref="AH29" si="62">AF29*AG29*AH$11/1000</f>
        <v>250668</v>
      </c>
      <c r="AI29" s="282">
        <f t="shared" si="56"/>
        <v>1266</v>
      </c>
      <c r="AJ29" s="252">
        <f>+AJ25</f>
        <v>38000</v>
      </c>
      <c r="AK29" s="252">
        <f>+(AD29*AB29+AA29*$AJ$3)*AI29*0.006*40%</f>
        <v>221195.52000000002</v>
      </c>
      <c r="AL29" s="69">
        <v>20</v>
      </c>
      <c r="AM29" s="252">
        <f>+AP$2</f>
        <v>20000</v>
      </c>
      <c r="AN29" s="518">
        <v>1.89</v>
      </c>
      <c r="AO29" s="65">
        <f>+AP$3</f>
        <v>1750</v>
      </c>
      <c r="AP29" s="289">
        <f>+AF29</f>
        <v>1266</v>
      </c>
      <c r="AQ29" s="286">
        <f>+AP6</f>
        <v>38000</v>
      </c>
      <c r="AR29" s="288">
        <f>AP29*AQ29*$AR$11/1000</f>
        <v>288648</v>
      </c>
      <c r="AS29" s="288">
        <f t="shared" si="58"/>
        <v>1266</v>
      </c>
      <c r="AT29" s="526">
        <f>+AT6</f>
        <v>40300</v>
      </c>
      <c r="AU29" s="598">
        <f>+AT29*AS29*$AU$11/1000</f>
        <v>306118.8</v>
      </c>
      <c r="AV29" s="69">
        <v>20</v>
      </c>
      <c r="AW29" s="64">
        <f>+AZ$2</f>
        <v>21000</v>
      </c>
      <c r="AX29" s="518">
        <v>1.89</v>
      </c>
      <c r="AY29" s="65">
        <f>+AZ$3</f>
        <v>1900</v>
      </c>
      <c r="AZ29" s="285">
        <f t="shared" si="59"/>
        <v>1266</v>
      </c>
      <c r="BA29" s="286">
        <f>+AZ6</f>
        <v>42700</v>
      </c>
      <c r="BB29" s="282">
        <f>+BA29*AZ29*$AU$11/1000</f>
        <v>324349.2</v>
      </c>
      <c r="BC29" s="289">
        <f t="shared" si="60"/>
        <v>45300</v>
      </c>
      <c r="BD29" s="288">
        <f t="shared" si="61"/>
        <v>344098.8</v>
      </c>
      <c r="BE29" s="69">
        <v>20</v>
      </c>
      <c r="BF29" s="252">
        <f>+$BI$2</f>
        <v>25000</v>
      </c>
      <c r="BG29" s="518">
        <v>1.89</v>
      </c>
      <c r="BH29" s="252">
        <f>$BI$3</f>
        <v>2700</v>
      </c>
      <c r="BI29" s="289">
        <f>+AZ29</f>
        <v>1266</v>
      </c>
      <c r="BJ29" s="287">
        <f>+BK29/BI29*1000/12</f>
        <v>40500</v>
      </c>
      <c r="BK29" s="288">
        <f>((BF29*BG29+BE29*BH29)*40%)*BI29*12/1000</f>
        <v>615276</v>
      </c>
      <c r="BM29" s="528"/>
    </row>
    <row r="30" spans="2:65" s="552" customFormat="1" ht="25.5">
      <c r="B30" s="529">
        <v>4</v>
      </c>
      <c r="C30" s="523" t="s">
        <v>97</v>
      </c>
      <c r="D30" s="530"/>
      <c r="E30" s="561"/>
      <c r="F30" s="530"/>
      <c r="G30" s="562"/>
      <c r="H30" s="575">
        <f>H31+H32+H33+H34+H38</f>
        <v>1655</v>
      </c>
      <c r="I30" s="576"/>
      <c r="J30" s="577">
        <f>J31+J32+J33+J34+J38</f>
        <v>1017584.688</v>
      </c>
      <c r="K30" s="530"/>
      <c r="L30" s="561"/>
      <c r="M30" s="530"/>
      <c r="N30" s="562"/>
      <c r="O30" s="575">
        <f>O31+O32+O33+O34+O38</f>
        <v>1300</v>
      </c>
      <c r="P30" s="576"/>
      <c r="Q30" s="530">
        <f>Q31+Q32+Q33+Q34+Q38</f>
        <v>785877.31200000003</v>
      </c>
      <c r="R30" s="554"/>
      <c r="S30" s="538">
        <v>18000</v>
      </c>
      <c r="T30" s="556"/>
      <c r="U30" s="538">
        <v>1600</v>
      </c>
      <c r="V30" s="563">
        <f>V31+V32+V33+V34+V38</f>
        <v>1006</v>
      </c>
      <c r="W30" s="563"/>
      <c r="X30" s="564">
        <f>X31+X32+X33+X34+X38</f>
        <v>369910.82335960475</v>
      </c>
      <c r="Y30" s="564">
        <f>Y31+Y32+Y33+Y34+Y38</f>
        <v>198005.30186644709</v>
      </c>
      <c r="Z30" s="542">
        <f t="shared" si="9"/>
        <v>567916.12522605178</v>
      </c>
      <c r="AA30" s="530"/>
      <c r="AB30" s="530"/>
      <c r="AC30" s="575">
        <f>AC31+AC32+AC33+AC34+AC38</f>
        <v>1258</v>
      </c>
      <c r="AD30" s="554"/>
      <c r="AE30" s="564"/>
      <c r="AF30" s="563">
        <f>AF31+AF32+AF33+AF34+AF38</f>
        <v>1258</v>
      </c>
      <c r="AG30" s="547">
        <f>AH30/AF30/6*1000</f>
        <v>51504.133545310018</v>
      </c>
      <c r="AH30" s="563">
        <f>AH31+AH32+AH33+AH34+AH38</f>
        <v>388753.2</v>
      </c>
      <c r="AI30" s="563">
        <f>AI31+AI32+AI33+AI34+AI38</f>
        <v>1258</v>
      </c>
      <c r="AJ30" s="547">
        <f>+AK30/AF30/6*1000</f>
        <v>53564.069952305239</v>
      </c>
      <c r="AK30" s="594">
        <f>AK31+AK32+AK33+AK34+AK38</f>
        <v>404301.6</v>
      </c>
      <c r="AL30" s="530"/>
      <c r="AM30" s="549"/>
      <c r="AN30" s="530"/>
      <c r="AO30" s="562"/>
      <c r="AP30" s="551">
        <f>AP31+AP32+AP33+AP34+AP38</f>
        <v>1258</v>
      </c>
      <c r="AQ30" s="543">
        <f>+AR30/AP30/AR11*1000</f>
        <v>53564.069952305239</v>
      </c>
      <c r="AR30" s="549">
        <f>AR31+AR32+AR33+AR34+AR38</f>
        <v>404301.6</v>
      </c>
      <c r="AS30" s="549">
        <f>AS31+AS32+AS33+AS34+AS38</f>
        <v>1258</v>
      </c>
      <c r="AT30" s="543">
        <f>+AU30/AS30/AU11*1000</f>
        <v>55873.731319554841</v>
      </c>
      <c r="AU30" s="530">
        <f>AU31+AU32+AU33+AU34+AU38</f>
        <v>421734.92399999994</v>
      </c>
      <c r="AV30" s="530"/>
      <c r="AW30" s="561"/>
      <c r="AX30" s="530"/>
      <c r="AY30" s="562"/>
      <c r="AZ30" s="551">
        <f>AZ31+AZ32+AZ33+AZ34+AZ38</f>
        <v>1258</v>
      </c>
      <c r="BA30" s="608">
        <f>+BB30/AZ30/BB11*1000</f>
        <v>57237.244833068362</v>
      </c>
      <c r="BB30" s="549">
        <f>BB31+BB32+BB33+BB34+BB38</f>
        <v>432026.72399999999</v>
      </c>
      <c r="BC30" s="608">
        <f>+BD30/AZ30/BD11*1000</f>
        <v>61082.693163751974</v>
      </c>
      <c r="BD30" s="549">
        <f>BD31+BD32+BD33+BD34+BD38</f>
        <v>461052.16799999995</v>
      </c>
      <c r="BE30" s="530"/>
      <c r="BF30" s="561"/>
      <c r="BG30" s="530"/>
      <c r="BH30" s="562"/>
      <c r="BI30" s="551">
        <f>BI31+BI32+BI33+BI34+BI38</f>
        <v>1258</v>
      </c>
      <c r="BJ30" s="547">
        <f t="shared" ref="BJ30" si="63">BK30/BI30/12*1000</f>
        <v>72512.599364069945</v>
      </c>
      <c r="BK30" s="549">
        <f>BK31+BK32+BK33+BK34+BK38</f>
        <v>1094650.2</v>
      </c>
      <c r="BM30" s="553"/>
    </row>
    <row r="31" spans="2:65" s="527" customFormat="1" ht="51">
      <c r="B31" s="571">
        <v>4.0999999999999996</v>
      </c>
      <c r="C31" s="572" t="s">
        <v>98</v>
      </c>
      <c r="D31" s="66">
        <v>20</v>
      </c>
      <c r="E31" s="64">
        <v>18000</v>
      </c>
      <c r="F31" s="68">
        <v>3.6</v>
      </c>
      <c r="G31" s="65">
        <v>1600</v>
      </c>
      <c r="H31" s="70">
        <v>1061</v>
      </c>
      <c r="I31" s="524">
        <f>J31/H31/12*1000</f>
        <v>58080.000000000007</v>
      </c>
      <c r="J31" s="66">
        <f>((E31*F31+D31*G31)*60%)*H31*12/1000</f>
        <v>739474.56</v>
      </c>
      <c r="K31" s="66">
        <v>20</v>
      </c>
      <c r="L31" s="64">
        <f>+P$2</f>
        <v>18000</v>
      </c>
      <c r="M31" s="68">
        <v>3.41</v>
      </c>
      <c r="N31" s="65">
        <f>+P$3</f>
        <v>1600</v>
      </c>
      <c r="O31" s="514">
        <f>946-9</f>
        <v>937</v>
      </c>
      <c r="P31" s="524">
        <v>51017.651162790695</v>
      </c>
      <c r="Q31" s="66">
        <f>((L31*M31+K31*N31)*60%)*O31*12/1000</f>
        <v>629978.83200000005</v>
      </c>
      <c r="R31" s="512">
        <v>20</v>
      </c>
      <c r="S31" s="509">
        <v>18000</v>
      </c>
      <c r="T31" s="508">
        <v>2.9212924424972617</v>
      </c>
      <c r="U31" s="509">
        <v>1600</v>
      </c>
      <c r="V31" s="510">
        <v>713</v>
      </c>
      <c r="W31" s="511">
        <f>(X31+Y31)/V31/12*1000</f>
        <v>51918.475355969327</v>
      </c>
      <c r="X31" s="262">
        <f>((S31*T31+R31*U31)*60%)*V31*8/1000</f>
        <v>289477.76259364729</v>
      </c>
      <c r="Y31" s="262">
        <f>(($X$2*T31+R31*U31)*60%)*V31*4/1000</f>
        <v>154736.71255202629</v>
      </c>
      <c r="Z31" s="258">
        <f t="shared" si="9"/>
        <v>444214.47514567361</v>
      </c>
      <c r="AA31" s="66">
        <v>20</v>
      </c>
      <c r="AB31" s="68">
        <v>3.05</v>
      </c>
      <c r="AC31" s="514">
        <v>929</v>
      </c>
      <c r="AD31" s="252">
        <f t="shared" si="51"/>
        <v>20000</v>
      </c>
      <c r="AE31" s="258">
        <f t="shared" si="52"/>
        <v>1600</v>
      </c>
      <c r="AF31" s="510">
        <f>+AC31</f>
        <v>929</v>
      </c>
      <c r="AG31" s="286">
        <f t="shared" ref="AG31:AG33" si="64">AH31/AF31/6*1000</f>
        <v>55800.000000000007</v>
      </c>
      <c r="AH31" s="282">
        <f>+(AD31*AB31+AA31*AE31)*AF31*0.006*60%</f>
        <v>311029.2</v>
      </c>
      <c r="AI31" s="282">
        <f>+AF31</f>
        <v>929</v>
      </c>
      <c r="AJ31" s="252">
        <f>+AK31/V31/6*1000</f>
        <v>75049.649368863946</v>
      </c>
      <c r="AK31" s="252">
        <f>+(AD31*AB31+AA31*$AJ$3)*AI31*0.006*60%</f>
        <v>321062.39999999997</v>
      </c>
      <c r="AL31" s="66">
        <v>20</v>
      </c>
      <c r="AM31" s="252">
        <f>+AP$2</f>
        <v>20000</v>
      </c>
      <c r="AN31" s="68">
        <f>+AB31</f>
        <v>3.05</v>
      </c>
      <c r="AO31" s="65">
        <f>+AP$3</f>
        <v>1750</v>
      </c>
      <c r="AP31" s="289">
        <f>+AF31</f>
        <v>929</v>
      </c>
      <c r="AQ31" s="286">
        <f t="shared" ref="AQ31:AQ33" si="65">AR31/AP31/6*1000</f>
        <v>57599.999999999993</v>
      </c>
      <c r="AR31" s="282">
        <f>+($AP$2*AN31+AL31*$AP$3)*AP31*AR$11/1000*60%</f>
        <v>321062.39999999997</v>
      </c>
      <c r="AS31" s="289">
        <f>+AP31</f>
        <v>929</v>
      </c>
      <c r="AT31" s="526">
        <f>+AU31/AS31/6*1000</f>
        <v>60029.999999999993</v>
      </c>
      <c r="AU31" s="252">
        <f>+AS31*(AN31*$AT$2+AL31*$AT$3)*$AU$11/1000*60%</f>
        <v>334607.21999999997</v>
      </c>
      <c r="AV31" s="66">
        <v>20</v>
      </c>
      <c r="AW31" s="64">
        <f>+AZ$2</f>
        <v>21000</v>
      </c>
      <c r="AX31" s="68">
        <f>+AN31</f>
        <v>3.05</v>
      </c>
      <c r="AY31" s="65">
        <f>+AZ$3</f>
        <v>1900</v>
      </c>
      <c r="AZ31" s="285">
        <f>+AS31</f>
        <v>929</v>
      </c>
      <c r="BA31" s="286">
        <f t="shared" ref="BA31:BA32" si="66">BB31/AZ31/6*1000</f>
        <v>61229.999999999993</v>
      </c>
      <c r="BB31" s="282">
        <f>+($AZ$2*AX31+AV31*$AZ$3)*AZ31*BB$11/1000*60%</f>
        <v>341296.01999999996</v>
      </c>
      <c r="BC31" s="522">
        <f>+BD31/AZ31/6*1000</f>
        <v>65459.999999999993</v>
      </c>
      <c r="BD31" s="252">
        <f>+AZ31*(AX31*$BC$2+AV31*$BC$3)*$BD$11/1000*60%</f>
        <v>364874.04</v>
      </c>
      <c r="BE31" s="66">
        <v>20</v>
      </c>
      <c r="BF31" s="252">
        <f>+$BI$2</f>
        <v>25000</v>
      </c>
      <c r="BG31" s="68">
        <f>+AX31</f>
        <v>3.05</v>
      </c>
      <c r="BH31" s="252">
        <f>$BI$3</f>
        <v>2700</v>
      </c>
      <c r="BI31" s="289">
        <f>+AZ31</f>
        <v>929</v>
      </c>
      <c r="BJ31" s="286">
        <f>BK31/BI31/12*1000</f>
        <v>78149.999999999985</v>
      </c>
      <c r="BK31" s="288">
        <f>((BF31*BG31+BE31*BH31)*60%)*BI31*12/1000</f>
        <v>871216.2</v>
      </c>
      <c r="BM31" s="528"/>
    </row>
    <row r="32" spans="2:65" s="527" customFormat="1" ht="63.75">
      <c r="B32" s="571">
        <v>4.2</v>
      </c>
      <c r="C32" s="572" t="s">
        <v>99</v>
      </c>
      <c r="D32" s="66">
        <v>20</v>
      </c>
      <c r="E32" s="64">
        <v>18000</v>
      </c>
      <c r="F32" s="68">
        <v>4.6100000000000003</v>
      </c>
      <c r="G32" s="65">
        <v>1600</v>
      </c>
      <c r="H32" s="70">
        <v>24</v>
      </c>
      <c r="I32" s="524">
        <f>J32/H32/12*1000</f>
        <v>91984</v>
      </c>
      <c r="J32" s="66">
        <f>((E32*F32+D32*G32)*80%)*H32*12/1000</f>
        <v>26491.392</v>
      </c>
      <c r="K32" s="66">
        <v>20</v>
      </c>
      <c r="L32" s="64">
        <f>+P$2</f>
        <v>18000</v>
      </c>
      <c r="M32" s="68">
        <v>4.58</v>
      </c>
      <c r="N32" s="65">
        <f>+P$3</f>
        <v>1600</v>
      </c>
      <c r="O32" s="514">
        <v>9</v>
      </c>
      <c r="P32" s="524">
        <v>90000</v>
      </c>
      <c r="Q32" s="66">
        <f>((L32*M32+K32*N32)*80%)*O32*12/1000</f>
        <v>9887.616</v>
      </c>
      <c r="R32" s="512">
        <v>20</v>
      </c>
      <c r="S32" s="509">
        <v>18000</v>
      </c>
      <c r="T32" s="508">
        <v>1.7777777777777777</v>
      </c>
      <c r="U32" s="509">
        <v>1600</v>
      </c>
      <c r="V32" s="510">
        <v>14</v>
      </c>
      <c r="W32" s="511">
        <f>(X32+Y32)/V32/12*1000</f>
        <v>52148.148148148146</v>
      </c>
      <c r="X32" s="262">
        <f>((S32*T32+R32*U32)*80%)*V32*8/1000</f>
        <v>5734.4</v>
      </c>
      <c r="Y32" s="262">
        <f>(($X$2*T32+R32*U32)*80%)*V32*4/1000</f>
        <v>3026.4888888888895</v>
      </c>
      <c r="Z32" s="258">
        <f t="shared" si="9"/>
        <v>8760.8888888888887</v>
      </c>
      <c r="AA32" s="66">
        <v>20</v>
      </c>
      <c r="AB32" s="68">
        <v>4.76</v>
      </c>
      <c r="AC32" s="514">
        <v>13</v>
      </c>
      <c r="AD32" s="252">
        <f t="shared" si="51"/>
        <v>20000</v>
      </c>
      <c r="AE32" s="258">
        <f t="shared" si="52"/>
        <v>1600</v>
      </c>
      <c r="AF32" s="510">
        <f t="shared" ref="AF32:AF33" si="67">+AC32</f>
        <v>13</v>
      </c>
      <c r="AG32" s="286">
        <f>+AF8</f>
        <v>105000</v>
      </c>
      <c r="AH32" s="282">
        <f>+AF32*AG32*$AK$11/1000</f>
        <v>8190</v>
      </c>
      <c r="AI32" s="282">
        <f t="shared" ref="AI32:AI33" si="68">+AF32</f>
        <v>13</v>
      </c>
      <c r="AJ32" s="252">
        <f>+AJ8</f>
        <v>106200</v>
      </c>
      <c r="AK32" s="252">
        <f>+AJ32*AI32*$AK$11/1000</f>
        <v>8283.6</v>
      </c>
      <c r="AL32" s="66">
        <v>20</v>
      </c>
      <c r="AM32" s="252">
        <f>+AP$2</f>
        <v>20000</v>
      </c>
      <c r="AN32" s="68">
        <f t="shared" ref="AN32:AN33" si="69">+AB32</f>
        <v>4.76</v>
      </c>
      <c r="AO32" s="65">
        <f>+AP$3</f>
        <v>1750</v>
      </c>
      <c r="AP32" s="289">
        <f>+AF32</f>
        <v>13</v>
      </c>
      <c r="AQ32" s="286">
        <f>+AP8</f>
        <v>106200</v>
      </c>
      <c r="AR32" s="282">
        <f>+AQ32*AP32*$AR$11/1000</f>
        <v>8283.6</v>
      </c>
      <c r="AS32" s="289">
        <f t="shared" ref="AS32:AS40" si="70">+AP32</f>
        <v>13</v>
      </c>
      <c r="AT32" s="526">
        <f>+AU32/AS32/6*1000</f>
        <v>108768.00000000001</v>
      </c>
      <c r="AU32" s="252">
        <f>+AS32*(AN32*$AT$2+AL32*$AT$3)*$AU$11/1000*80%</f>
        <v>8483.9040000000005</v>
      </c>
      <c r="AV32" s="66">
        <v>20</v>
      </c>
      <c r="AW32" s="64">
        <f>+AZ$2</f>
        <v>21000</v>
      </c>
      <c r="AX32" s="68">
        <f t="shared" ref="AX32:AX33" si="71">+AN32</f>
        <v>4.76</v>
      </c>
      <c r="AY32" s="65">
        <f>+AZ$3</f>
        <v>1900</v>
      </c>
      <c r="AZ32" s="285">
        <f>+AS32</f>
        <v>13</v>
      </c>
      <c r="BA32" s="286">
        <f t="shared" si="66"/>
        <v>110368</v>
      </c>
      <c r="BB32" s="282">
        <f>+($AZ$2*AX32+AV32*$AZ$3)*AZ32*BB$11/1000*80%</f>
        <v>8608.7039999999997</v>
      </c>
      <c r="BC32" s="522">
        <f>+BD32/AZ32/6*1000</f>
        <v>117375.99999999999</v>
      </c>
      <c r="BD32" s="252">
        <f>+AZ32*(AX32*$BC$2+AV32*$BC$3)*$BD$11/1000*80%</f>
        <v>9155.3279999999995</v>
      </c>
      <c r="BE32" s="66">
        <v>20</v>
      </c>
      <c r="BF32" s="252">
        <f>+$BI$2</f>
        <v>25000</v>
      </c>
      <c r="BG32" s="68">
        <f>+AX32</f>
        <v>4.76</v>
      </c>
      <c r="BH32" s="252">
        <f>$BI$3</f>
        <v>2700</v>
      </c>
      <c r="BI32" s="289">
        <f>+AZ32</f>
        <v>13</v>
      </c>
      <c r="BJ32" s="286">
        <f>BK32/BI32/12*1000</f>
        <v>138400</v>
      </c>
      <c r="BK32" s="288">
        <f>((BF32*BG32+BE32*BH32)*80%)*BI32*12/1000</f>
        <v>21590.400000000001</v>
      </c>
      <c r="BM32" s="528"/>
    </row>
    <row r="33" spans="1:65" s="527" customFormat="1" ht="51">
      <c r="B33" s="571">
        <v>4.3</v>
      </c>
      <c r="C33" s="572" t="s">
        <v>100</v>
      </c>
      <c r="D33" s="66">
        <v>20</v>
      </c>
      <c r="E33" s="64">
        <v>18000</v>
      </c>
      <c r="F33" s="68">
        <v>3.82</v>
      </c>
      <c r="G33" s="65">
        <v>1600</v>
      </c>
      <c r="H33" s="70">
        <v>275</v>
      </c>
      <c r="I33" s="524">
        <f>J33/H33/12*1000</f>
        <v>40304</v>
      </c>
      <c r="J33" s="66">
        <f>((E33*F33+D33*G33)*40%)*H33*12/1000</f>
        <v>133003.20000000001</v>
      </c>
      <c r="K33" s="66">
        <v>20</v>
      </c>
      <c r="L33" s="64">
        <f>+P$2</f>
        <v>18000</v>
      </c>
      <c r="M33" s="68">
        <v>3.2</v>
      </c>
      <c r="N33" s="65">
        <f>+P$3</f>
        <v>1600</v>
      </c>
      <c r="O33" s="514">
        <v>195</v>
      </c>
      <c r="P33" s="524">
        <v>34027.610256410255</v>
      </c>
      <c r="Q33" s="66">
        <f>((L33*M33+K33*N33)*40%)*O33*12/1000</f>
        <v>83865.600000000006</v>
      </c>
      <c r="R33" s="512">
        <v>20</v>
      </c>
      <c r="S33" s="509">
        <v>18000</v>
      </c>
      <c r="T33" s="508">
        <v>2.7031914893617017</v>
      </c>
      <c r="U33" s="509">
        <v>1600</v>
      </c>
      <c r="V33" s="510">
        <v>160</v>
      </c>
      <c r="W33" s="511">
        <f>(X33+Y33)/V33/12*1000</f>
        <v>32983.829787234041</v>
      </c>
      <c r="X33" s="262">
        <f>((S33*T33+R33*U33)*40%)*V33*8/1000</f>
        <v>41296.612765957441</v>
      </c>
      <c r="Y33" s="262">
        <f>(($X$2*T33+R33*U33)*40%)*V33*4/1000</f>
        <v>22032.340425531915</v>
      </c>
      <c r="Z33" s="258">
        <f t="shared" si="9"/>
        <v>63328.95319148936</v>
      </c>
      <c r="AA33" s="66">
        <v>20</v>
      </c>
      <c r="AB33" s="68">
        <v>3.2</v>
      </c>
      <c r="AC33" s="514">
        <v>175</v>
      </c>
      <c r="AD33" s="252">
        <f t="shared" si="51"/>
        <v>20000</v>
      </c>
      <c r="AE33" s="258">
        <f t="shared" si="52"/>
        <v>1600</v>
      </c>
      <c r="AF33" s="510">
        <f t="shared" si="67"/>
        <v>175</v>
      </c>
      <c r="AG33" s="286">
        <f t="shared" si="64"/>
        <v>38400</v>
      </c>
      <c r="AH33" s="282">
        <f>+(AD33*AB33+AA33*AE33)*AF33*0.006*40%</f>
        <v>40320</v>
      </c>
      <c r="AI33" s="282">
        <f t="shared" si="68"/>
        <v>175</v>
      </c>
      <c r="AJ33" s="252">
        <f>+AK33/V33/6*1000</f>
        <v>43312.5</v>
      </c>
      <c r="AK33" s="252">
        <f>+(AD33*AB33+AA33*$AJ$3)*AI33*0.006*40%</f>
        <v>41580</v>
      </c>
      <c r="AL33" s="66">
        <v>20</v>
      </c>
      <c r="AM33" s="252">
        <f>+AP$2</f>
        <v>20000</v>
      </c>
      <c r="AN33" s="68">
        <f t="shared" si="69"/>
        <v>3.2</v>
      </c>
      <c r="AO33" s="65">
        <f>+AP$3</f>
        <v>1750</v>
      </c>
      <c r="AP33" s="289">
        <f>+AF33</f>
        <v>175</v>
      </c>
      <c r="AQ33" s="286">
        <f t="shared" si="65"/>
        <v>39600</v>
      </c>
      <c r="AR33" s="282">
        <f>+($AP$2*AN33+AL33*$AP$3)*AP33*AR$11/1000*40%</f>
        <v>41580</v>
      </c>
      <c r="AS33" s="289">
        <f t="shared" si="70"/>
        <v>175</v>
      </c>
      <c r="AT33" s="526">
        <f>+AU33/AS33/6*1000</f>
        <v>41280</v>
      </c>
      <c r="AU33" s="252">
        <f>+AS33*(AN33*$AT$2+AL33*$AT$3)*$AU$11/1000*40%</f>
        <v>43344</v>
      </c>
      <c r="AV33" s="66">
        <v>20</v>
      </c>
      <c r="AW33" s="64">
        <f>+AZ$2</f>
        <v>21000</v>
      </c>
      <c r="AX33" s="68">
        <f t="shared" si="71"/>
        <v>3.2</v>
      </c>
      <c r="AY33" s="65">
        <f>+AZ$3</f>
        <v>1900</v>
      </c>
      <c r="AZ33" s="285">
        <f>+AS33</f>
        <v>175</v>
      </c>
      <c r="BA33" s="286">
        <f>+AZ7</f>
        <v>42700</v>
      </c>
      <c r="BB33" s="282">
        <f>+BA33*AZ33*$AU$11/1000</f>
        <v>44835</v>
      </c>
      <c r="BC33" s="522">
        <f>+BC29</f>
        <v>45300</v>
      </c>
      <c r="BD33" s="282">
        <f>+BC33*AZ33*$BD$11/1000</f>
        <v>47565</v>
      </c>
      <c r="BE33" s="66">
        <v>20</v>
      </c>
      <c r="BF33" s="252">
        <f>+$BI$2</f>
        <v>25000</v>
      </c>
      <c r="BG33" s="68">
        <f>+AX33</f>
        <v>3.2</v>
      </c>
      <c r="BH33" s="252">
        <f>$BI$3</f>
        <v>2700</v>
      </c>
      <c r="BI33" s="289">
        <f>+AZ33</f>
        <v>175</v>
      </c>
      <c r="BJ33" s="286">
        <f>BK33/BI33/12*1000</f>
        <v>53600</v>
      </c>
      <c r="BK33" s="288">
        <f>((BF33*BG33+BE33*BH33)*40%)*BI33*12/1000</f>
        <v>112560</v>
      </c>
      <c r="BM33" s="528"/>
    </row>
    <row r="34" spans="1:65" s="552" customFormat="1" ht="76.5">
      <c r="B34" s="565">
        <v>4.5</v>
      </c>
      <c r="C34" s="523" t="s">
        <v>101</v>
      </c>
      <c r="D34" s="583"/>
      <c r="E34" s="584"/>
      <c r="F34" s="583"/>
      <c r="G34" s="585"/>
      <c r="H34" s="575">
        <f>SUM(H35:H37)</f>
        <v>104</v>
      </c>
      <c r="I34" s="581"/>
      <c r="J34" s="530">
        <f>SUM(J35:J37)</f>
        <v>33696</v>
      </c>
      <c r="K34" s="583"/>
      <c r="L34" s="584"/>
      <c r="M34" s="583"/>
      <c r="N34" s="585"/>
      <c r="O34" s="575">
        <f>SUM(O35:O37)</f>
        <v>83</v>
      </c>
      <c r="P34" s="581"/>
      <c r="Q34" s="530">
        <f>SUM(Q35:Q37)</f>
        <v>28404</v>
      </c>
      <c r="R34" s="586"/>
      <c r="S34" s="587"/>
      <c r="T34" s="588"/>
      <c r="U34" s="589"/>
      <c r="V34" s="563">
        <f>SUM(V35:V37)</f>
        <v>62</v>
      </c>
      <c r="W34" s="582"/>
      <c r="X34" s="564">
        <f>SUM(X35:X37)</f>
        <v>15840</v>
      </c>
      <c r="Y34" s="564">
        <f>SUM(Y35:Y37)</f>
        <v>8760</v>
      </c>
      <c r="Z34" s="542">
        <f t="shared" si="9"/>
        <v>24600</v>
      </c>
      <c r="AA34" s="583"/>
      <c r="AB34" s="583"/>
      <c r="AC34" s="575">
        <f>SUM(AC35:AC37)</f>
        <v>75</v>
      </c>
      <c r="AD34" s="586"/>
      <c r="AE34" s="590"/>
      <c r="AF34" s="575">
        <f>SUM(AF35:AF37)</f>
        <v>75</v>
      </c>
      <c r="AG34" s="557"/>
      <c r="AH34" s="551">
        <f>SUM(AH35:AH37)</f>
        <v>15714</v>
      </c>
      <c r="AI34" s="551">
        <f>SUM(AI35:AI37)</f>
        <v>75</v>
      </c>
      <c r="AJ34" s="551"/>
      <c r="AK34" s="551">
        <f>SUM(AK35:AK37)</f>
        <v>17918.400000000001</v>
      </c>
      <c r="AL34" s="583"/>
      <c r="AM34" s="595"/>
      <c r="AN34" s="583"/>
      <c r="AO34" s="585"/>
      <c r="AP34" s="551">
        <f>SUM(AP35:AP37)</f>
        <v>75</v>
      </c>
      <c r="AQ34" s="557"/>
      <c r="AR34" s="549">
        <f>SUM(AR35:AR37)</f>
        <v>17918.400000000001</v>
      </c>
      <c r="AS34" s="549">
        <f>SUM(AS35:AS37)</f>
        <v>75</v>
      </c>
      <c r="AT34" s="550">
        <f t="shared" si="48"/>
        <v>100.43591701667303</v>
      </c>
      <c r="AU34" s="530">
        <f>SUM(AU35:AU37)</f>
        <v>18939</v>
      </c>
      <c r="AV34" s="583"/>
      <c r="AW34" s="584"/>
      <c r="AX34" s="583"/>
      <c r="AY34" s="585"/>
      <c r="AZ34" s="551">
        <f>SUM(AZ35:AZ37)</f>
        <v>75</v>
      </c>
      <c r="BA34" s="557"/>
      <c r="BB34" s="549">
        <f>SUM(BB35:BB37)</f>
        <v>19990.2</v>
      </c>
      <c r="BC34" s="551">
        <f t="shared" ref="BC34" si="72">+BD34/AR34/12*1000</f>
        <v>98.320720600053576</v>
      </c>
      <c r="BD34" s="549">
        <f>SUM(BD35:BD37)</f>
        <v>21141</v>
      </c>
      <c r="BE34" s="583"/>
      <c r="BF34" s="584"/>
      <c r="BG34" s="583"/>
      <c r="BH34" s="585"/>
      <c r="BI34" s="551">
        <f>SUM(BI35:BI37)</f>
        <v>75</v>
      </c>
      <c r="BJ34" s="557"/>
      <c r="BK34" s="549">
        <f>SUM(BK35:BK37)</f>
        <v>44702.400000000001</v>
      </c>
      <c r="BM34" s="553"/>
    </row>
    <row r="35" spans="1:65" s="527" customFormat="1">
      <c r="B35" s="571"/>
      <c r="C35" s="572" t="s">
        <v>102</v>
      </c>
      <c r="D35" s="71" t="s">
        <v>88</v>
      </c>
      <c r="E35" s="71" t="s">
        <v>88</v>
      </c>
      <c r="F35" s="71" t="s">
        <v>88</v>
      </c>
      <c r="G35" s="71" t="s">
        <v>88</v>
      </c>
      <c r="H35" s="70">
        <v>63</v>
      </c>
      <c r="I35" s="573">
        <v>27000</v>
      </c>
      <c r="J35" s="66">
        <f>H35*I35*12/1000</f>
        <v>20412</v>
      </c>
      <c r="K35" s="71" t="s">
        <v>88</v>
      </c>
      <c r="L35" s="71" t="s">
        <v>88</v>
      </c>
      <c r="M35" s="71" t="s">
        <v>88</v>
      </c>
      <c r="N35" s="71" t="s">
        <v>88</v>
      </c>
      <c r="O35" s="514">
        <v>55</v>
      </c>
      <c r="P35" s="573">
        <f>+P$7</f>
        <v>27000</v>
      </c>
      <c r="Q35" s="66">
        <f>O35*P35*12/1000</f>
        <v>17820</v>
      </c>
      <c r="R35" s="263" t="s">
        <v>88</v>
      </c>
      <c r="S35" s="263" t="s">
        <v>88</v>
      </c>
      <c r="T35" s="515" t="s">
        <v>88</v>
      </c>
      <c r="U35" s="263" t="s">
        <v>88</v>
      </c>
      <c r="V35" s="510">
        <v>41</v>
      </c>
      <c r="W35" s="514">
        <v>30000</v>
      </c>
      <c r="X35" s="262">
        <f>V35*W35*8/1000</f>
        <v>9840</v>
      </c>
      <c r="Y35" s="262">
        <f>V35*X7*4/1000</f>
        <v>5412</v>
      </c>
      <c r="Z35" s="258">
        <f t="shared" si="9"/>
        <v>15252</v>
      </c>
      <c r="AA35" s="71" t="s">
        <v>88</v>
      </c>
      <c r="AB35" s="71" t="s">
        <v>88</v>
      </c>
      <c r="AC35" s="514">
        <v>48</v>
      </c>
      <c r="AD35" s="263" t="s">
        <v>88</v>
      </c>
      <c r="AE35" s="264" t="s">
        <v>88</v>
      </c>
      <c r="AF35" s="510">
        <f>+AC35</f>
        <v>48</v>
      </c>
      <c r="AG35" s="287">
        <f>+AF$7</f>
        <v>33000</v>
      </c>
      <c r="AH35" s="288">
        <f>AF35*AG35*AH$11/1000</f>
        <v>9504</v>
      </c>
      <c r="AI35" s="282">
        <f t="shared" ref="AI35:AI37" si="73">+AF35</f>
        <v>48</v>
      </c>
      <c r="AJ35" s="288">
        <f>+AJ7</f>
        <v>38000</v>
      </c>
      <c r="AK35" s="288">
        <f>+AI35*AJ35*AK$11/1000</f>
        <v>10944</v>
      </c>
      <c r="AL35" s="71" t="s">
        <v>88</v>
      </c>
      <c r="AM35" s="287" t="s">
        <v>88</v>
      </c>
      <c r="AN35" s="71" t="s">
        <v>88</v>
      </c>
      <c r="AO35" s="71" t="s">
        <v>88</v>
      </c>
      <c r="AP35" s="289">
        <f>+AF35</f>
        <v>48</v>
      </c>
      <c r="AQ35" s="287">
        <f>+AP7</f>
        <v>38000</v>
      </c>
      <c r="AR35" s="288">
        <f>AP35*AQ35*$AR$11/1000</f>
        <v>10944</v>
      </c>
      <c r="AS35" s="289">
        <f t="shared" si="70"/>
        <v>48</v>
      </c>
      <c r="AT35" s="66">
        <f>+AT7</f>
        <v>40300</v>
      </c>
      <c r="AU35" s="253">
        <f>+AS35*AT35*$AU$11/1000</f>
        <v>11606.4</v>
      </c>
      <c r="AV35" s="71" t="s">
        <v>88</v>
      </c>
      <c r="AW35" s="71" t="s">
        <v>88</v>
      </c>
      <c r="AX35" s="71" t="s">
        <v>88</v>
      </c>
      <c r="AY35" s="71" t="s">
        <v>88</v>
      </c>
      <c r="AZ35" s="285">
        <f>ROUND(AS35*$AZ$10,0)</f>
        <v>48</v>
      </c>
      <c r="BA35" s="287">
        <f>+AZ$7</f>
        <v>42700</v>
      </c>
      <c r="BB35" s="288">
        <f>AZ35*BA35*$BB$11/1000</f>
        <v>12297.6</v>
      </c>
      <c r="BC35" s="288">
        <f>+BC7</f>
        <v>45300</v>
      </c>
      <c r="BD35" s="288">
        <f>+AZ35*BC35*$BD$11/1000</f>
        <v>13046.4</v>
      </c>
      <c r="BE35" s="71" t="s">
        <v>88</v>
      </c>
      <c r="BF35" s="71" t="s">
        <v>88</v>
      </c>
      <c r="BG35" s="71" t="s">
        <v>88</v>
      </c>
      <c r="BH35" s="71" t="s">
        <v>88</v>
      </c>
      <c r="BI35" s="289">
        <f>+AZ35</f>
        <v>48</v>
      </c>
      <c r="BJ35" s="287">
        <f>+BI7</f>
        <v>48000</v>
      </c>
      <c r="BK35" s="288">
        <f>BI35*BJ35*12/1000</f>
        <v>27648</v>
      </c>
      <c r="BM35" s="528"/>
    </row>
    <row r="36" spans="1:65" s="527" customFormat="1">
      <c r="B36" s="571"/>
      <c r="C36" s="572" t="s">
        <v>103</v>
      </c>
      <c r="D36" s="71" t="s">
        <v>88</v>
      </c>
      <c r="E36" s="71" t="s">
        <v>88</v>
      </c>
      <c r="F36" s="71" t="s">
        <v>88</v>
      </c>
      <c r="G36" s="71" t="s">
        <v>88</v>
      </c>
      <c r="H36" s="70">
        <v>0</v>
      </c>
      <c r="I36" s="573">
        <v>90000</v>
      </c>
      <c r="J36" s="66">
        <f>H36*I36*12/1000</f>
        <v>0</v>
      </c>
      <c r="K36" s="71" t="s">
        <v>88</v>
      </c>
      <c r="L36" s="71" t="s">
        <v>88</v>
      </c>
      <c r="M36" s="71" t="s">
        <v>88</v>
      </c>
      <c r="N36" s="71" t="s">
        <v>88</v>
      </c>
      <c r="O36" s="514">
        <v>2</v>
      </c>
      <c r="P36" s="573">
        <f>+P$8</f>
        <v>90000</v>
      </c>
      <c r="Q36" s="66">
        <f>O36*P36*12/1000</f>
        <v>2160</v>
      </c>
      <c r="R36" s="263" t="s">
        <v>88</v>
      </c>
      <c r="S36" s="263" t="s">
        <v>88</v>
      </c>
      <c r="T36" s="515" t="s">
        <v>88</v>
      </c>
      <c r="U36" s="263" t="s">
        <v>88</v>
      </c>
      <c r="V36" s="510">
        <v>2</v>
      </c>
      <c r="W36" s="514">
        <v>90000</v>
      </c>
      <c r="X36" s="262">
        <f>V36*W36*8/1000</f>
        <v>1440</v>
      </c>
      <c r="Y36" s="262">
        <f>V36*X8*4/1000</f>
        <v>840</v>
      </c>
      <c r="Z36" s="258">
        <f t="shared" si="9"/>
        <v>2280</v>
      </c>
      <c r="AA36" s="71" t="s">
        <v>88</v>
      </c>
      <c r="AB36" s="71" t="s">
        <v>88</v>
      </c>
      <c r="AC36" s="514">
        <v>2</v>
      </c>
      <c r="AD36" s="263" t="s">
        <v>88</v>
      </c>
      <c r="AE36" s="264" t="s">
        <v>88</v>
      </c>
      <c r="AF36" s="510">
        <f t="shared" ref="AF36:AF37" si="74">+AC36</f>
        <v>2</v>
      </c>
      <c r="AG36" s="287">
        <f>+AF$8</f>
        <v>105000</v>
      </c>
      <c r="AH36" s="288">
        <f>AF36*AG36*AH$11/1000</f>
        <v>1260</v>
      </c>
      <c r="AI36" s="282">
        <f t="shared" si="73"/>
        <v>2</v>
      </c>
      <c r="AJ36" s="288">
        <f>+AJ8</f>
        <v>106200</v>
      </c>
      <c r="AK36" s="288">
        <f>+AI36*AJ36*AK$11/1000</f>
        <v>1274.4000000000001</v>
      </c>
      <c r="AL36" s="71" t="s">
        <v>88</v>
      </c>
      <c r="AM36" s="287" t="s">
        <v>88</v>
      </c>
      <c r="AN36" s="71" t="s">
        <v>88</v>
      </c>
      <c r="AO36" s="71" t="s">
        <v>88</v>
      </c>
      <c r="AP36" s="289">
        <f>+AF36</f>
        <v>2</v>
      </c>
      <c r="AQ36" s="287">
        <f t="shared" ref="AQ36:AQ37" si="75">+AP8</f>
        <v>106200</v>
      </c>
      <c r="AR36" s="288">
        <f t="shared" ref="AR36:AR37" si="76">AP36*AQ36*$AR$11/1000</f>
        <v>1274.4000000000001</v>
      </c>
      <c r="AS36" s="289">
        <f t="shared" si="70"/>
        <v>2</v>
      </c>
      <c r="AT36" s="66">
        <f>+AT8</f>
        <v>107300</v>
      </c>
      <c r="AU36" s="253">
        <f t="shared" ref="AU36:AU41" si="77">+AS36*AT36*$AU$11/1000</f>
        <v>1287.5999999999999</v>
      </c>
      <c r="AV36" s="71" t="s">
        <v>88</v>
      </c>
      <c r="AW36" s="71" t="s">
        <v>88</v>
      </c>
      <c r="AX36" s="71" t="s">
        <v>88</v>
      </c>
      <c r="AY36" s="71" t="s">
        <v>88</v>
      </c>
      <c r="AZ36" s="285">
        <f t="shared" ref="AZ36:AZ37" si="78">ROUND(AS36*$AZ$10,0)</f>
        <v>2</v>
      </c>
      <c r="BA36" s="287">
        <f>+AZ$8</f>
        <v>107300</v>
      </c>
      <c r="BB36" s="288">
        <f t="shared" ref="BB36:BB37" si="79">AZ36*BA36*$BB$11/1000</f>
        <v>1287.5999999999999</v>
      </c>
      <c r="BC36" s="288">
        <f>+BC8</f>
        <v>108300</v>
      </c>
      <c r="BD36" s="288">
        <f t="shared" ref="BD36:BD37" si="80">+AZ36*BC36*$BD$11/1000</f>
        <v>1299.5999999999999</v>
      </c>
      <c r="BE36" s="71" t="s">
        <v>88</v>
      </c>
      <c r="BF36" s="71" t="s">
        <v>88</v>
      </c>
      <c r="BG36" s="71" t="s">
        <v>88</v>
      </c>
      <c r="BH36" s="71" t="s">
        <v>88</v>
      </c>
      <c r="BI36" s="289">
        <f>+AZ36</f>
        <v>2</v>
      </c>
      <c r="BJ36" s="287">
        <f>+BI8</f>
        <v>110600</v>
      </c>
      <c r="BK36" s="288">
        <f>BI36*BJ36*12/1000</f>
        <v>2654.4</v>
      </c>
      <c r="BM36" s="528"/>
    </row>
    <row r="37" spans="1:65" s="527" customFormat="1" ht="26.25" customHeight="1">
      <c r="B37" s="571"/>
      <c r="C37" s="572" t="s">
        <v>104</v>
      </c>
      <c r="D37" s="71" t="s">
        <v>88</v>
      </c>
      <c r="E37" s="71" t="s">
        <v>88</v>
      </c>
      <c r="F37" s="71" t="s">
        <v>88</v>
      </c>
      <c r="G37" s="71" t="s">
        <v>88</v>
      </c>
      <c r="H37" s="70">
        <v>41</v>
      </c>
      <c r="I37" s="573">
        <v>27000</v>
      </c>
      <c r="J37" s="66">
        <f>H37*I37*12/1000</f>
        <v>13284</v>
      </c>
      <c r="K37" s="71" t="s">
        <v>88</v>
      </c>
      <c r="L37" s="71" t="s">
        <v>88</v>
      </c>
      <c r="M37" s="71" t="s">
        <v>88</v>
      </c>
      <c r="N37" s="71" t="s">
        <v>88</v>
      </c>
      <c r="O37" s="514">
        <v>26</v>
      </c>
      <c r="P37" s="573">
        <f>+P$9</f>
        <v>27000</v>
      </c>
      <c r="Q37" s="66">
        <f>O37*P37*12/1000</f>
        <v>8424</v>
      </c>
      <c r="R37" s="263" t="s">
        <v>88</v>
      </c>
      <c r="S37" s="263" t="s">
        <v>88</v>
      </c>
      <c r="T37" s="515" t="s">
        <v>88</v>
      </c>
      <c r="U37" s="263" t="s">
        <v>88</v>
      </c>
      <c r="V37" s="510">
        <v>19</v>
      </c>
      <c r="W37" s="514">
        <v>30000</v>
      </c>
      <c r="X37" s="262">
        <f>V37*W37*8/1000</f>
        <v>4560</v>
      </c>
      <c r="Y37" s="262">
        <f>V37*X9*4/1000</f>
        <v>2508</v>
      </c>
      <c r="Z37" s="258">
        <f t="shared" si="9"/>
        <v>7068</v>
      </c>
      <c r="AA37" s="71" t="s">
        <v>88</v>
      </c>
      <c r="AB37" s="71" t="s">
        <v>88</v>
      </c>
      <c r="AC37" s="514">
        <v>25</v>
      </c>
      <c r="AD37" s="263" t="s">
        <v>88</v>
      </c>
      <c r="AE37" s="264" t="s">
        <v>88</v>
      </c>
      <c r="AF37" s="510">
        <f t="shared" si="74"/>
        <v>25</v>
      </c>
      <c r="AG37" s="287">
        <f>+AF$9</f>
        <v>33000</v>
      </c>
      <c r="AH37" s="288">
        <f>AF37*AG37*AH$11/1000</f>
        <v>4950</v>
      </c>
      <c r="AI37" s="282">
        <f t="shared" si="73"/>
        <v>25</v>
      </c>
      <c r="AJ37" s="288">
        <f>+AJ9</f>
        <v>38000</v>
      </c>
      <c r="AK37" s="288">
        <f>+AI37*AJ37*AK$11/1000</f>
        <v>5700</v>
      </c>
      <c r="AL37" s="71" t="s">
        <v>88</v>
      </c>
      <c r="AM37" s="287" t="s">
        <v>88</v>
      </c>
      <c r="AN37" s="71" t="s">
        <v>88</v>
      </c>
      <c r="AO37" s="71" t="s">
        <v>88</v>
      </c>
      <c r="AP37" s="289">
        <f>+AF37</f>
        <v>25</v>
      </c>
      <c r="AQ37" s="287">
        <f t="shared" si="75"/>
        <v>38000</v>
      </c>
      <c r="AR37" s="288">
        <f t="shared" si="76"/>
        <v>5700</v>
      </c>
      <c r="AS37" s="289">
        <f t="shared" si="70"/>
        <v>25</v>
      </c>
      <c r="AT37" s="66">
        <f>+AT9</f>
        <v>40300</v>
      </c>
      <c r="AU37" s="253">
        <f t="shared" si="77"/>
        <v>6045</v>
      </c>
      <c r="AV37" s="71" t="s">
        <v>88</v>
      </c>
      <c r="AW37" s="71" t="s">
        <v>88</v>
      </c>
      <c r="AX37" s="71" t="s">
        <v>88</v>
      </c>
      <c r="AY37" s="71" t="s">
        <v>88</v>
      </c>
      <c r="AZ37" s="285">
        <f t="shared" si="78"/>
        <v>25</v>
      </c>
      <c r="BA37" s="287">
        <f>+AZ$9</f>
        <v>42700</v>
      </c>
      <c r="BB37" s="288">
        <f t="shared" si="79"/>
        <v>6405</v>
      </c>
      <c r="BC37" s="288">
        <f>+BC9</f>
        <v>45300</v>
      </c>
      <c r="BD37" s="288">
        <f t="shared" si="80"/>
        <v>6795</v>
      </c>
      <c r="BE37" s="71" t="s">
        <v>88</v>
      </c>
      <c r="BF37" s="71" t="s">
        <v>88</v>
      </c>
      <c r="BG37" s="71" t="s">
        <v>88</v>
      </c>
      <c r="BH37" s="71" t="s">
        <v>88</v>
      </c>
      <c r="BI37" s="289">
        <f>+AZ37</f>
        <v>25</v>
      </c>
      <c r="BJ37" s="287">
        <f>+BI9</f>
        <v>48000</v>
      </c>
      <c r="BK37" s="288">
        <f>BI37*BJ37*12/1000</f>
        <v>14400</v>
      </c>
      <c r="BM37" s="528"/>
    </row>
    <row r="38" spans="1:65" s="552" customFormat="1" ht="38.25">
      <c r="B38" s="565">
        <v>4.5999999999999996</v>
      </c>
      <c r="C38" s="523" t="s">
        <v>105</v>
      </c>
      <c r="D38" s="583"/>
      <c r="E38" s="584"/>
      <c r="F38" s="583"/>
      <c r="G38" s="585"/>
      <c r="H38" s="575">
        <f>SUM(H39:H41)</f>
        <v>191</v>
      </c>
      <c r="I38" s="581"/>
      <c r="J38" s="530">
        <f>SUM(J39:J41)</f>
        <v>84919.535999999993</v>
      </c>
      <c r="K38" s="583"/>
      <c r="L38" s="584"/>
      <c r="M38" s="583"/>
      <c r="N38" s="585"/>
      <c r="O38" s="575">
        <f>SUM(O39:O41)</f>
        <v>76</v>
      </c>
      <c r="P38" s="581"/>
      <c r="Q38" s="530">
        <f>SUM(Q39:Q41)</f>
        <v>33741.263999999996</v>
      </c>
      <c r="R38" s="586"/>
      <c r="S38" s="587"/>
      <c r="T38" s="588"/>
      <c r="U38" s="589"/>
      <c r="V38" s="563">
        <f>SUM(V39:V41)</f>
        <v>57</v>
      </c>
      <c r="W38" s="582"/>
      <c r="X38" s="564">
        <f>SUM(X39:X41)</f>
        <v>17562.048000000003</v>
      </c>
      <c r="Y38" s="564">
        <f>SUM(Y39:Y41)</f>
        <v>9449.76</v>
      </c>
      <c r="Z38" s="542">
        <f t="shared" si="9"/>
        <v>27011.808000000005</v>
      </c>
      <c r="AA38" s="583"/>
      <c r="AB38" s="583"/>
      <c r="AC38" s="575">
        <f>SUM(AC39:AC41)</f>
        <v>66</v>
      </c>
      <c r="AD38" s="586"/>
      <c r="AE38" s="590"/>
      <c r="AF38" s="563">
        <f>SUM(AF39:AF41)</f>
        <v>66</v>
      </c>
      <c r="AG38" s="557"/>
      <c r="AH38" s="563">
        <f>SUM(AH39:AH41)</f>
        <v>13500</v>
      </c>
      <c r="AI38" s="563">
        <f>SUM(AI39:AI41)</f>
        <v>66</v>
      </c>
      <c r="AJ38" s="563">
        <f>SUM(AJ39:AJ41)</f>
        <v>182200</v>
      </c>
      <c r="AK38" s="549">
        <f>SUM(AK39:AK41)</f>
        <v>15457.2</v>
      </c>
      <c r="AL38" s="583"/>
      <c r="AM38" s="595"/>
      <c r="AN38" s="583"/>
      <c r="AO38" s="585"/>
      <c r="AP38" s="551">
        <f>SUM(AP39:AP41)</f>
        <v>66</v>
      </c>
      <c r="AQ38" s="557"/>
      <c r="AR38" s="549">
        <f>SUM(AR39:AR41)</f>
        <v>15457.2</v>
      </c>
      <c r="AS38" s="549">
        <f>SUM(AS39:AS41)</f>
        <v>66</v>
      </c>
      <c r="AT38" s="550">
        <f t="shared" ref="AT38" si="81">+AU38/AH38/12*1000</f>
        <v>100.99259259259259</v>
      </c>
      <c r="AU38" s="530">
        <f>SUM(AU39:AU41)</f>
        <v>16360.8</v>
      </c>
      <c r="AV38" s="583"/>
      <c r="AW38" s="584"/>
      <c r="AX38" s="583"/>
      <c r="AY38" s="585"/>
      <c r="AZ38" s="551">
        <f>SUM(AZ39:AZ41)</f>
        <v>66</v>
      </c>
      <c r="BA38" s="557"/>
      <c r="BB38" s="549">
        <f>SUM(BB39:BB41)</f>
        <v>17296.8</v>
      </c>
      <c r="BC38" s="551">
        <f t="shared" ref="BC38" si="82">+BD38/AR38/12*1000</f>
        <v>98.750097042155105</v>
      </c>
      <c r="BD38" s="549">
        <f>SUM(BD39:BD41)</f>
        <v>18316.8</v>
      </c>
      <c r="BE38" s="583"/>
      <c r="BF38" s="584"/>
      <c r="BG38" s="583"/>
      <c r="BH38" s="585"/>
      <c r="BI38" s="551">
        <f>SUM(BI39:BI41)</f>
        <v>66</v>
      </c>
      <c r="BJ38" s="557"/>
      <c r="BK38" s="549">
        <f>SUM(BK39:BK41)</f>
        <v>44581.2</v>
      </c>
      <c r="BM38" s="553"/>
    </row>
    <row r="39" spans="1:65" s="528" customFormat="1">
      <c r="B39" s="578"/>
      <c r="C39" s="579" t="s">
        <v>102</v>
      </c>
      <c r="D39" s="72">
        <v>20</v>
      </c>
      <c r="E39" s="64">
        <v>18000</v>
      </c>
      <c r="F39" s="72">
        <v>1.89</v>
      </c>
      <c r="G39" s="65">
        <v>1600</v>
      </c>
      <c r="H39" s="73">
        <v>144</v>
      </c>
      <c r="I39" s="524">
        <f>+J39/H39*1000/12</f>
        <v>39611.999999999993</v>
      </c>
      <c r="J39" s="74">
        <f>((E39*F39+D39*G39)*60%)*H39*12/1000</f>
        <v>68449.535999999993</v>
      </c>
      <c r="K39" s="72">
        <v>20</v>
      </c>
      <c r="L39" s="64">
        <f>+P$2</f>
        <v>18000</v>
      </c>
      <c r="M39" s="72">
        <v>1.89</v>
      </c>
      <c r="N39" s="65">
        <f>+P$3</f>
        <v>1600</v>
      </c>
      <c r="O39" s="514">
        <v>56</v>
      </c>
      <c r="P39" s="524">
        <f>+Q39/O39*1000/12</f>
        <v>39612</v>
      </c>
      <c r="Q39" s="74">
        <f>((L39*M39+K39*N39)*60%)*O39*12/1000</f>
        <v>26619.263999999999</v>
      </c>
      <c r="R39" s="512">
        <v>20</v>
      </c>
      <c r="S39" s="509">
        <v>18000</v>
      </c>
      <c r="T39" s="508">
        <v>1.89</v>
      </c>
      <c r="U39" s="509">
        <v>1600</v>
      </c>
      <c r="V39" s="510">
        <v>38</v>
      </c>
      <c r="W39" s="511">
        <f>(X39+Y39)/V39/12*1000</f>
        <v>40368</v>
      </c>
      <c r="X39" s="258">
        <f>((S39*T39+R39*U39)*60%)*V39*8/1000</f>
        <v>12042.048000000001</v>
      </c>
      <c r="Y39" s="258">
        <f>(($X$2*T39+R39*U39)*60%)*V39*4/1000</f>
        <v>6365.76</v>
      </c>
      <c r="Z39" s="258">
        <f t="shared" si="9"/>
        <v>18407.808000000001</v>
      </c>
      <c r="AA39" s="72">
        <v>20</v>
      </c>
      <c r="AB39" s="519">
        <v>1.89</v>
      </c>
      <c r="AC39" s="514">
        <v>48</v>
      </c>
      <c r="AD39" s="266" t="s">
        <v>88</v>
      </c>
      <c r="AE39" s="265" t="s">
        <v>88</v>
      </c>
      <c r="AF39" s="510">
        <f>+AC39</f>
        <v>48</v>
      </c>
      <c r="AG39" s="286">
        <f>+AF$7</f>
        <v>33000</v>
      </c>
      <c r="AH39" s="288">
        <f>AF39*AG39*AH$11/1000</f>
        <v>9504</v>
      </c>
      <c r="AI39" s="282">
        <f t="shared" ref="AI39:AI41" si="83">+AF39</f>
        <v>48</v>
      </c>
      <c r="AJ39" s="252">
        <f>+AJ35</f>
        <v>38000</v>
      </c>
      <c r="AK39" s="288">
        <f>+AI39*AJ39*AK$11/1000</f>
        <v>10944</v>
      </c>
      <c r="AL39" s="72">
        <v>20</v>
      </c>
      <c r="AM39" s="252">
        <f>+AP$2</f>
        <v>20000</v>
      </c>
      <c r="AN39" s="519">
        <v>1.89</v>
      </c>
      <c r="AO39" s="65">
        <f>+AP$3</f>
        <v>1750</v>
      </c>
      <c r="AP39" s="289">
        <f>+AF39</f>
        <v>48</v>
      </c>
      <c r="AQ39" s="597">
        <f>+AP7</f>
        <v>38000</v>
      </c>
      <c r="AR39" s="288">
        <f>AP39*AQ39*$AR$11/1000</f>
        <v>10944</v>
      </c>
      <c r="AS39" s="289">
        <f t="shared" si="70"/>
        <v>48</v>
      </c>
      <c r="AT39" s="74">
        <f>+AT35</f>
        <v>40300</v>
      </c>
      <c r="AU39" s="253">
        <f t="shared" si="77"/>
        <v>11606.4</v>
      </c>
      <c r="AV39" s="72">
        <v>20</v>
      </c>
      <c r="AW39" s="64">
        <f>+AZ$2</f>
        <v>21000</v>
      </c>
      <c r="AX39" s="519">
        <v>1.89</v>
      </c>
      <c r="AY39" s="65">
        <f>+AZ$3</f>
        <v>1900</v>
      </c>
      <c r="AZ39" s="285">
        <f>ROUND(AS39*$AZ$10,0)</f>
        <v>48</v>
      </c>
      <c r="BA39" s="74">
        <f>+BA35</f>
        <v>42700</v>
      </c>
      <c r="BB39" s="288">
        <f>AZ39*BA39*$BB$11/1000</f>
        <v>12297.6</v>
      </c>
      <c r="BC39" s="252">
        <f>+BC35</f>
        <v>45300</v>
      </c>
      <c r="BD39" s="288">
        <f>+AZ39*BC39*$BD$11/1000</f>
        <v>13046.4</v>
      </c>
      <c r="BE39" s="72">
        <v>20</v>
      </c>
      <c r="BF39" s="252">
        <f>+$BI$2</f>
        <v>25000</v>
      </c>
      <c r="BG39" s="519">
        <v>1.89</v>
      </c>
      <c r="BH39" s="252">
        <f>$BI$3</f>
        <v>2700</v>
      </c>
      <c r="BI39" s="289">
        <f>+AZ39</f>
        <v>48</v>
      </c>
      <c r="BJ39" s="74">
        <f>+BJ35</f>
        <v>48000</v>
      </c>
      <c r="BK39" s="252">
        <f>((BF39*BG39+BE39*BH39)*60%)*BI39*12/1000</f>
        <v>34992</v>
      </c>
      <c r="BL39" s="527"/>
    </row>
    <row r="40" spans="1:65" s="528" customFormat="1" ht="18.75" customHeight="1">
      <c r="B40" s="578"/>
      <c r="C40" s="579" t="s">
        <v>103</v>
      </c>
      <c r="D40" s="72">
        <v>20</v>
      </c>
      <c r="E40" s="64">
        <v>18000</v>
      </c>
      <c r="F40" s="72">
        <v>1.89</v>
      </c>
      <c r="G40" s="65">
        <v>1600</v>
      </c>
      <c r="H40" s="73">
        <v>2</v>
      </c>
      <c r="I40" s="524">
        <v>90000</v>
      </c>
      <c r="J40" s="74">
        <f>H40*I40*12/1000</f>
        <v>2160</v>
      </c>
      <c r="K40" s="75" t="s">
        <v>88</v>
      </c>
      <c r="L40" s="75" t="s">
        <v>88</v>
      </c>
      <c r="M40" s="75" t="s">
        <v>88</v>
      </c>
      <c r="N40" s="75" t="s">
        <v>88</v>
      </c>
      <c r="O40" s="514">
        <v>1</v>
      </c>
      <c r="P40" s="524">
        <f>+P$8</f>
        <v>90000</v>
      </c>
      <c r="Q40" s="74">
        <f>O40*P40*12/1000</f>
        <v>1080</v>
      </c>
      <c r="R40" s="512">
        <v>20</v>
      </c>
      <c r="S40" s="509">
        <v>18000</v>
      </c>
      <c r="T40" s="508">
        <v>1.89</v>
      </c>
      <c r="U40" s="509">
        <v>1600</v>
      </c>
      <c r="V40" s="510">
        <v>2</v>
      </c>
      <c r="W40" s="511">
        <v>90000</v>
      </c>
      <c r="X40" s="258">
        <f>V40*W40*8/1000</f>
        <v>1440</v>
      </c>
      <c r="Y40" s="258">
        <f>V40*X8*4/1000</f>
        <v>840</v>
      </c>
      <c r="Z40" s="258">
        <f t="shared" si="9"/>
        <v>2280</v>
      </c>
      <c r="AA40" s="75" t="s">
        <v>88</v>
      </c>
      <c r="AB40" s="75" t="s">
        <v>88</v>
      </c>
      <c r="AC40" s="514">
        <v>1</v>
      </c>
      <c r="AD40" s="266" t="s">
        <v>88</v>
      </c>
      <c r="AE40" s="265" t="s">
        <v>88</v>
      </c>
      <c r="AF40" s="510">
        <f t="shared" ref="AF40:AF41" si="84">+AC40</f>
        <v>1</v>
      </c>
      <c r="AG40" s="286">
        <f>+AF$8</f>
        <v>105000</v>
      </c>
      <c r="AH40" s="288">
        <f t="shared" ref="AH40:AH41" si="85">AF40*AG40*AH$11/1000</f>
        <v>630</v>
      </c>
      <c r="AI40" s="282">
        <f t="shared" si="83"/>
        <v>1</v>
      </c>
      <c r="AJ40" s="252">
        <f t="shared" ref="AJ40:AJ41" si="86">+AJ36</f>
        <v>106200</v>
      </c>
      <c r="AK40" s="288">
        <f>+AI40*AJ40*AK$11/1000</f>
        <v>637.20000000000005</v>
      </c>
      <c r="AL40" s="75" t="s">
        <v>88</v>
      </c>
      <c r="AM40" s="286" t="s">
        <v>88</v>
      </c>
      <c r="AN40" s="75" t="s">
        <v>88</v>
      </c>
      <c r="AO40" s="75" t="s">
        <v>88</v>
      </c>
      <c r="AP40" s="289">
        <f>+AF40</f>
        <v>1</v>
      </c>
      <c r="AQ40" s="597">
        <f t="shared" ref="AQ40:AQ41" si="87">+AP8</f>
        <v>106200</v>
      </c>
      <c r="AR40" s="288">
        <f t="shared" ref="AR40:AR41" si="88">AP40*AQ40*$AR$11/1000</f>
        <v>637.20000000000005</v>
      </c>
      <c r="AS40" s="289">
        <f t="shared" si="70"/>
        <v>1</v>
      </c>
      <c r="AT40" s="74">
        <f t="shared" ref="AT40:AT41" si="89">+AT36</f>
        <v>107300</v>
      </c>
      <c r="AU40" s="253">
        <f t="shared" si="77"/>
        <v>643.79999999999995</v>
      </c>
      <c r="AV40" s="75" t="s">
        <v>88</v>
      </c>
      <c r="AW40" s="75" t="s">
        <v>88</v>
      </c>
      <c r="AX40" s="75" t="s">
        <v>88</v>
      </c>
      <c r="AY40" s="75" t="s">
        <v>88</v>
      </c>
      <c r="AZ40" s="285">
        <f t="shared" ref="AZ40:AZ41" si="90">ROUND(AS40*$AZ$10,0)</f>
        <v>1</v>
      </c>
      <c r="BA40" s="74">
        <f t="shared" ref="BA40" si="91">+BA36</f>
        <v>107300</v>
      </c>
      <c r="BB40" s="288">
        <f t="shared" ref="BB40:BB41" si="92">AZ40*BA40*$BB$11/1000</f>
        <v>643.79999999999995</v>
      </c>
      <c r="BC40" s="252">
        <f t="shared" ref="BC40" si="93">+BC36</f>
        <v>108300</v>
      </c>
      <c r="BD40" s="288">
        <f t="shared" ref="BD40:BD41" si="94">+AZ40*BC40*$BD$11/1000</f>
        <v>649.79999999999995</v>
      </c>
      <c r="BE40" s="75" t="s">
        <v>88</v>
      </c>
      <c r="BF40" s="75" t="s">
        <v>88</v>
      </c>
      <c r="BG40" s="600" t="s">
        <v>88</v>
      </c>
      <c r="BH40" s="75" t="s">
        <v>88</v>
      </c>
      <c r="BI40" s="289">
        <f>+AZ40</f>
        <v>1</v>
      </c>
      <c r="BJ40" s="74">
        <f t="shared" ref="BJ40" si="95">+BJ36</f>
        <v>110600</v>
      </c>
      <c r="BK40" s="252">
        <f>BI40*BJ40*12/1000</f>
        <v>1327.2</v>
      </c>
      <c r="BL40" s="527"/>
    </row>
    <row r="41" spans="1:65" s="528" customFormat="1" ht="26.25" customHeight="1">
      <c r="B41" s="578"/>
      <c r="C41" s="579" t="s">
        <v>104</v>
      </c>
      <c r="D41" s="72">
        <v>20</v>
      </c>
      <c r="E41" s="64">
        <v>18000</v>
      </c>
      <c r="F41" s="72">
        <v>1.89</v>
      </c>
      <c r="G41" s="65">
        <v>1600</v>
      </c>
      <c r="H41" s="73">
        <v>45</v>
      </c>
      <c r="I41" s="524">
        <v>26500</v>
      </c>
      <c r="J41" s="74">
        <f>+H41*I41/1000*12</f>
        <v>14310</v>
      </c>
      <c r="K41" s="72">
        <v>20</v>
      </c>
      <c r="L41" s="64">
        <f>+P$2</f>
        <v>18000</v>
      </c>
      <c r="M41" s="72">
        <v>1.89</v>
      </c>
      <c r="N41" s="65">
        <f>+P$3</f>
        <v>1600</v>
      </c>
      <c r="O41" s="514">
        <v>19</v>
      </c>
      <c r="P41" s="524">
        <f>+Q41/O41*1000/12</f>
        <v>26500</v>
      </c>
      <c r="Q41" s="74">
        <f>IF(((L41*M41+K41*N41)*40%)&lt;P$1,O41*P$1/1000*12,((L41*M41+K41*N41)*40%)/1000*12)</f>
        <v>6042</v>
      </c>
      <c r="R41" s="512">
        <v>20</v>
      </c>
      <c r="S41" s="509">
        <v>18000</v>
      </c>
      <c r="T41" s="508">
        <v>1.89</v>
      </c>
      <c r="U41" s="509">
        <v>1600</v>
      </c>
      <c r="V41" s="510">
        <v>17</v>
      </c>
      <c r="W41" s="511">
        <v>30000</v>
      </c>
      <c r="X41" s="258">
        <f>+V41*W41/1000*8</f>
        <v>4080</v>
      </c>
      <c r="Y41" s="258">
        <f>+V41*X9/1000*4</f>
        <v>2244</v>
      </c>
      <c r="Z41" s="258">
        <f t="shared" si="9"/>
        <v>6324</v>
      </c>
      <c r="AA41" s="72">
        <v>20</v>
      </c>
      <c r="AB41" s="519">
        <v>1.89</v>
      </c>
      <c r="AC41" s="514">
        <v>17</v>
      </c>
      <c r="AD41" s="266" t="s">
        <v>88</v>
      </c>
      <c r="AE41" s="265" t="s">
        <v>88</v>
      </c>
      <c r="AF41" s="510">
        <f t="shared" si="84"/>
        <v>17</v>
      </c>
      <c r="AG41" s="286">
        <f>+AF$9</f>
        <v>33000</v>
      </c>
      <c r="AH41" s="288">
        <f t="shared" si="85"/>
        <v>3366</v>
      </c>
      <c r="AI41" s="282">
        <f t="shared" si="83"/>
        <v>17</v>
      </c>
      <c r="AJ41" s="252">
        <f t="shared" si="86"/>
        <v>38000</v>
      </c>
      <c r="AK41" s="288">
        <f>+AI41*AJ41*AK$11/1000</f>
        <v>3876</v>
      </c>
      <c r="AL41" s="72">
        <v>20</v>
      </c>
      <c r="AM41" s="252">
        <f>+AP$2</f>
        <v>20000</v>
      </c>
      <c r="AN41" s="519">
        <v>1.89</v>
      </c>
      <c r="AO41" s="65">
        <f>+AP$3</f>
        <v>1750</v>
      </c>
      <c r="AP41" s="289">
        <f>+AF41</f>
        <v>17</v>
      </c>
      <c r="AQ41" s="597">
        <f t="shared" si="87"/>
        <v>38000</v>
      </c>
      <c r="AR41" s="288">
        <f t="shared" si="88"/>
        <v>3876</v>
      </c>
      <c r="AS41" s="289">
        <f t="shared" ref="AS41" si="96">+AP41</f>
        <v>17</v>
      </c>
      <c r="AT41" s="74">
        <f t="shared" si="89"/>
        <v>40300</v>
      </c>
      <c r="AU41" s="253">
        <f t="shared" si="77"/>
        <v>4110.6000000000004</v>
      </c>
      <c r="AV41" s="72">
        <v>20</v>
      </c>
      <c r="AW41" s="64">
        <f>+AZ$2</f>
        <v>21000</v>
      </c>
      <c r="AX41" s="519">
        <v>1.89</v>
      </c>
      <c r="AY41" s="65">
        <f>+AZ$3</f>
        <v>1900</v>
      </c>
      <c r="AZ41" s="285">
        <f t="shared" si="90"/>
        <v>17</v>
      </c>
      <c r="BA41" s="74">
        <f t="shared" ref="BA41" si="97">+BA37</f>
        <v>42700</v>
      </c>
      <c r="BB41" s="288">
        <f t="shared" si="92"/>
        <v>4355.3999999999996</v>
      </c>
      <c r="BC41" s="252">
        <f t="shared" ref="BC41" si="98">+BC37</f>
        <v>45300</v>
      </c>
      <c r="BD41" s="288">
        <f t="shared" si="94"/>
        <v>4620.6000000000004</v>
      </c>
      <c r="BE41" s="72">
        <v>20</v>
      </c>
      <c r="BF41" s="252">
        <f t="shared" ref="BF41" si="99">+$BI$2</f>
        <v>25000</v>
      </c>
      <c r="BG41" s="519">
        <v>1.89</v>
      </c>
      <c r="BH41" s="252">
        <f t="shared" ref="BH41" si="100">$BI$3</f>
        <v>2700</v>
      </c>
      <c r="BI41" s="289">
        <f>+AZ41</f>
        <v>17</v>
      </c>
      <c r="BJ41" s="74">
        <f t="shared" ref="BJ41" si="101">+BJ37</f>
        <v>48000</v>
      </c>
      <c r="BK41" s="288">
        <f>((BF41*BG41+BE41*BH41)*40%)*BI41*12/1000</f>
        <v>8262</v>
      </c>
      <c r="BL41" s="527"/>
    </row>
    <row r="42" spans="1:65" ht="42.75">
      <c r="B42" s="150"/>
      <c r="C42" s="151" t="s">
        <v>152</v>
      </c>
      <c r="D42" s="152"/>
      <c r="E42" s="153"/>
      <c r="F42" s="152"/>
      <c r="G42" s="154"/>
      <c r="H42" s="155">
        <f>SUM(H15)</f>
        <v>34440</v>
      </c>
      <c r="I42" s="156">
        <f>J42/H42/12*1000</f>
        <v>78905.913644211381</v>
      </c>
      <c r="J42" s="152">
        <f>SUM(J15)</f>
        <v>32610235.990879681</v>
      </c>
      <c r="K42" s="152"/>
      <c r="L42" s="153"/>
      <c r="M42" s="152"/>
      <c r="N42" s="154"/>
      <c r="O42" s="155">
        <f>SUM(O15)</f>
        <v>33905</v>
      </c>
      <c r="P42" s="156">
        <f>Q42/O42/12*1000</f>
        <v>79434.39923315146</v>
      </c>
      <c r="Q42" s="152">
        <f>SUM(Q15)</f>
        <v>32318679.671999998</v>
      </c>
      <c r="R42" s="151"/>
      <c r="S42" s="151"/>
      <c r="T42" s="151"/>
      <c r="U42" s="151"/>
      <c r="V42" s="155">
        <f>SUM(V15)</f>
        <v>34809</v>
      </c>
      <c r="W42" s="156">
        <f>X42/V42/12*1000</f>
        <v>52946.800476497963</v>
      </c>
      <c r="X42" s="152">
        <f>SUM(X15)</f>
        <v>22116302.133437011</v>
      </c>
      <c r="Y42" s="152">
        <f>SUM(Y15)</f>
        <v>11852665.227909451</v>
      </c>
      <c r="Z42" s="280">
        <f>SUM(Z15)</f>
        <v>33968967.361346461</v>
      </c>
      <c r="AA42" s="152"/>
      <c r="AB42" s="152"/>
      <c r="AC42" s="155">
        <f>SUM(AC15)</f>
        <v>35552</v>
      </c>
      <c r="AD42" s="152">
        <f>SUM(AD15)</f>
        <v>0</v>
      </c>
      <c r="AE42" s="152">
        <f>SUM(AE15)</f>
        <v>0</v>
      </c>
      <c r="AF42" s="152">
        <f>SUM(AF15)</f>
        <v>35552</v>
      </c>
      <c r="AG42" s="255">
        <f>AH42/AF42/12*1000</f>
        <v>43796.603454095413</v>
      </c>
      <c r="AH42" s="256">
        <f>SUM(AH15)</f>
        <v>18684682.151999999</v>
      </c>
      <c r="AI42" s="256"/>
      <c r="AJ42" s="255">
        <f>+AK42/V42/12*1000</f>
        <v>46772.303893030541</v>
      </c>
      <c r="AK42" s="256">
        <f>SUM(AK15)</f>
        <v>19537165.51455</v>
      </c>
      <c r="AL42" s="152"/>
      <c r="AM42" s="256"/>
      <c r="AN42" s="152"/>
      <c r="AO42" s="154"/>
      <c r="AP42" s="254">
        <f>SUM(AP15)</f>
        <v>35860.880000000005</v>
      </c>
      <c r="AQ42" s="255">
        <f>AR42/AP42/12*1000</f>
        <v>45569.916653606932</v>
      </c>
      <c r="AR42" s="256">
        <f>SUM(AR15)</f>
        <v>19610127.752700001</v>
      </c>
      <c r="AS42" s="256"/>
      <c r="AT42" s="255">
        <f t="shared" ref="AT42" si="102">+AU42/AP42/12*1000</f>
        <v>48435.276663860444</v>
      </c>
      <c r="AU42" s="256">
        <f>SUM(AU15)</f>
        <v>20843179.730514001</v>
      </c>
      <c r="AV42" s="152"/>
      <c r="AW42" s="153"/>
      <c r="AX42" s="152"/>
      <c r="AY42" s="154"/>
      <c r="AZ42" s="254">
        <f>SUM(AZ15)</f>
        <v>36804</v>
      </c>
      <c r="BA42" s="255">
        <f>BB42/AZ42/12*1000</f>
        <v>48762.622405173352</v>
      </c>
      <c r="BB42" s="256">
        <f>SUM(BB15)</f>
        <v>21535914.66</v>
      </c>
      <c r="BC42" s="255">
        <f t="shared" ref="BC42" si="103">+BD42/AZ42/12*1000</f>
        <v>52063.252703510501</v>
      </c>
      <c r="BD42" s="256">
        <f>SUM(BD15)</f>
        <v>22993631.430000003</v>
      </c>
      <c r="BE42" s="152"/>
      <c r="BF42" s="153"/>
      <c r="BG42" s="152"/>
      <c r="BH42" s="154"/>
      <c r="BI42" s="254">
        <f>SUM(BI15)</f>
        <v>36804</v>
      </c>
      <c r="BJ42" s="255">
        <f>BK42/BI42/12*1000</f>
        <v>123388.4484566895</v>
      </c>
      <c r="BK42" s="256">
        <f>SUM(BK15)</f>
        <v>54494261.484000005</v>
      </c>
      <c r="BL42" s="63"/>
      <c r="BM42" s="63"/>
    </row>
    <row r="43" spans="1:65" ht="27.75">
      <c r="A43" s="67" t="s">
        <v>272</v>
      </c>
      <c r="B43" s="157"/>
      <c r="C43" s="158" t="s">
        <v>138</v>
      </c>
      <c r="D43" s="157"/>
      <c r="E43" s="159"/>
      <c r="F43" s="157"/>
      <c r="G43" s="160"/>
      <c r="H43" s="161"/>
      <c r="I43" s="162"/>
      <c r="J43" s="163"/>
      <c r="K43" s="157"/>
      <c r="L43" s="159"/>
      <c r="M43" s="157"/>
      <c r="N43" s="160"/>
      <c r="O43" s="161"/>
      <c r="P43" s="162"/>
      <c r="Q43" s="163"/>
      <c r="R43" s="516"/>
      <c r="S43" s="516"/>
      <c r="T43" s="516"/>
      <c r="U43" s="516"/>
      <c r="V43" s="161"/>
      <c r="W43" s="162"/>
      <c r="X43" s="163"/>
      <c r="Y43" s="163">
        <v>920427</v>
      </c>
      <c r="Z43" s="281">
        <f>+Y43</f>
        <v>920427</v>
      </c>
      <c r="AA43" s="157"/>
      <c r="AB43" s="157"/>
      <c r="AC43" s="161"/>
      <c r="AD43" s="157"/>
      <c r="AE43" s="160"/>
      <c r="AF43" s="290"/>
      <c r="AG43" s="290"/>
      <c r="AH43" s="290"/>
      <c r="AI43" s="290"/>
      <c r="AJ43" s="290"/>
      <c r="AK43" s="290"/>
      <c r="AL43" s="157"/>
      <c r="AM43" s="596"/>
      <c r="AN43" s="157"/>
      <c r="AO43" s="160"/>
      <c r="AP43" s="290"/>
      <c r="AQ43" s="290"/>
      <c r="AR43" s="290"/>
      <c r="AS43" s="290"/>
      <c r="AT43" s="163"/>
      <c r="AU43" s="163"/>
      <c r="AV43" s="157"/>
      <c r="AW43" s="159"/>
      <c r="AX43" s="157"/>
      <c r="AY43" s="160"/>
      <c r="AZ43" s="290"/>
      <c r="BA43" s="290"/>
      <c r="BB43" s="290"/>
      <c r="BC43" s="163"/>
      <c r="BD43" s="163"/>
      <c r="BE43" s="157"/>
      <c r="BF43" s="159"/>
      <c r="BG43" s="157"/>
      <c r="BH43" s="160"/>
      <c r="BI43" s="290"/>
      <c r="BJ43" s="290"/>
      <c r="BK43" s="290"/>
    </row>
    <row r="44" spans="1:65" ht="42.75">
      <c r="B44" s="164"/>
      <c r="C44" s="165" t="s">
        <v>153</v>
      </c>
      <c r="D44" s="166"/>
      <c r="E44" s="167"/>
      <c r="F44" s="166"/>
      <c r="G44" s="168"/>
      <c r="H44" s="168">
        <f>SUM(H42:H43)</f>
        <v>34440</v>
      </c>
      <c r="I44" s="156">
        <f>J44/H44/12*1000</f>
        <v>78905.913644211381</v>
      </c>
      <c r="J44" s="169">
        <f>SUM(J42:J43)</f>
        <v>32610235.990879681</v>
      </c>
      <c r="K44" s="166"/>
      <c r="L44" s="167"/>
      <c r="M44" s="166"/>
      <c r="N44" s="168"/>
      <c r="O44" s="168">
        <f>SUM(O42:O43)</f>
        <v>33905</v>
      </c>
      <c r="P44" s="156">
        <f>Q44/O44/12*1000</f>
        <v>79434.39923315146</v>
      </c>
      <c r="Q44" s="169">
        <f>SUM(Q42:Q43)</f>
        <v>32318679.671999998</v>
      </c>
      <c r="R44" s="165"/>
      <c r="S44" s="165"/>
      <c r="T44" s="165"/>
      <c r="U44" s="165"/>
      <c r="V44" s="168">
        <f>SUM(V42:V43)</f>
        <v>34809</v>
      </c>
      <c r="W44" s="156">
        <f>Z44/V44/12*1000</f>
        <v>83525.798790893299</v>
      </c>
      <c r="X44" s="169">
        <f>SUM(X42:X43)</f>
        <v>22116302.133437011</v>
      </c>
      <c r="Y44" s="169">
        <f>SUM(Y42:Y43)</f>
        <v>12773092.227909451</v>
      </c>
      <c r="Z44" s="169">
        <f>SUM(Z42:Z43)</f>
        <v>34889394.361346461</v>
      </c>
      <c r="AA44" s="169">
        <f t="shared" ref="AA44" si="104">SUM(AA42:AA43)</f>
        <v>0</v>
      </c>
      <c r="AB44" s="166"/>
      <c r="AC44" s="168">
        <f>SUM(AC42:AC43)</f>
        <v>35552</v>
      </c>
      <c r="AD44" s="166"/>
      <c r="AE44" s="168"/>
      <c r="AF44" s="291">
        <f>SUM(AF42:AF43)</f>
        <v>35552</v>
      </c>
      <c r="AG44" s="255">
        <f>AH44/AF44/AH11*1000</f>
        <v>87593.206908190827</v>
      </c>
      <c r="AH44" s="291">
        <f>SUM(AH42:AH43)</f>
        <v>18684682.151999999</v>
      </c>
      <c r="AI44" s="291">
        <f>SUM(AI42:AI43)</f>
        <v>0</v>
      </c>
      <c r="AJ44" s="599">
        <f>+AK44/AF44/AK11*1000</f>
        <v>91589.622311684288</v>
      </c>
      <c r="AK44" s="291">
        <f>SUM(AK42:AK43)</f>
        <v>19537165.51455</v>
      </c>
      <c r="AL44" s="166"/>
      <c r="AM44" s="291"/>
      <c r="AN44" s="166"/>
      <c r="AO44" s="168"/>
      <c r="AP44" s="291">
        <f>SUM(AP42:AP43)</f>
        <v>35860.880000000005</v>
      </c>
      <c r="AQ44" s="255">
        <f>AR44/AP44/AR11*1000</f>
        <v>91139.833307213863</v>
      </c>
      <c r="AR44" s="291">
        <f>SUM(AR42:AR43)</f>
        <v>19610127.752700001</v>
      </c>
      <c r="AS44" s="291"/>
      <c r="AT44" s="169"/>
      <c r="AU44" s="169"/>
      <c r="AV44" s="166"/>
      <c r="AW44" s="167"/>
      <c r="AX44" s="166"/>
      <c r="AY44" s="168"/>
      <c r="AZ44" s="291">
        <f>SUM(AZ42:AZ43)</f>
        <v>36804</v>
      </c>
      <c r="BA44" s="255">
        <f>BB44/AZ44/BB11*1000</f>
        <v>97525.244810346703</v>
      </c>
      <c r="BB44" s="291">
        <f>SUM(BB42:BB43)</f>
        <v>21535914.66</v>
      </c>
      <c r="BC44" s="169">
        <f>+BD44/BD11/AZ44*1000</f>
        <v>104126.505407021</v>
      </c>
      <c r="BD44" s="291">
        <f>SUM(BD42:BD43)</f>
        <v>22993631.430000003</v>
      </c>
      <c r="BE44" s="166"/>
      <c r="BF44" s="167"/>
      <c r="BG44" s="166"/>
      <c r="BH44" s="168"/>
      <c r="BI44" s="291">
        <f>SUM(BI42:BI43)</f>
        <v>36804</v>
      </c>
      <c r="BJ44" s="255">
        <f>BK44/BI44/12*1000</f>
        <v>123388.4484566895</v>
      </c>
      <c r="BK44" s="291">
        <f>SUM(BK42:BK43)</f>
        <v>54494261.484000005</v>
      </c>
    </row>
    <row r="45" spans="1:65">
      <c r="B45" s="170"/>
      <c r="C45" s="170"/>
      <c r="D45" s="61"/>
      <c r="E45" s="61"/>
      <c r="F45" s="61"/>
      <c r="G45" s="61"/>
      <c r="H45" s="171"/>
      <c r="I45" s="76"/>
      <c r="J45" s="172"/>
      <c r="O45" s="173"/>
      <c r="P45" s="174"/>
      <c r="Q45" s="174"/>
      <c r="V45" s="173"/>
      <c r="W45" s="174"/>
      <c r="X45" s="174"/>
      <c r="Y45" s="174"/>
      <c r="Z45" s="174">
        <f>+Z44/Q44*100</f>
        <v>107.95426891022922</v>
      </c>
      <c r="AA45" s="174"/>
      <c r="AB45" s="174"/>
      <c r="AC45" s="174"/>
      <c r="AF45" s="173"/>
      <c r="AG45" s="174"/>
      <c r="AH45" s="174">
        <f>+AH44/Z44*100</f>
        <v>53.554045560333755</v>
      </c>
      <c r="AI45" s="174"/>
      <c r="AJ45" s="174"/>
      <c r="AK45" s="174"/>
      <c r="AP45" s="173"/>
      <c r="AQ45" s="174"/>
      <c r="AR45" s="174">
        <f>+AR44/AH44*100</f>
        <v>104.95296410809398</v>
      </c>
      <c r="AS45" s="174"/>
      <c r="AT45" s="174"/>
      <c r="AU45" s="174"/>
      <c r="AZ45" s="173"/>
      <c r="BA45" s="174"/>
      <c r="BB45" s="174">
        <f>+BB44/AR44*100</f>
        <v>109.82036900312823</v>
      </c>
      <c r="BC45" s="174"/>
      <c r="BD45" s="174"/>
      <c r="BI45" s="173"/>
      <c r="BJ45" s="174"/>
      <c r="BK45" s="174">
        <f>+BK44/BB44*100</f>
        <v>253.03899251242669</v>
      </c>
    </row>
    <row r="46" spans="1:65">
      <c r="B46" s="61"/>
      <c r="C46" s="77"/>
      <c r="D46" s="61"/>
      <c r="E46" s="61"/>
      <c r="F46" s="61"/>
      <c r="G46" s="61"/>
      <c r="H46" s="78"/>
      <c r="I46" s="79"/>
      <c r="J46" s="80"/>
      <c r="Z46" s="67" t="s">
        <v>277</v>
      </c>
    </row>
    <row r="47" spans="1:65" ht="15" customHeight="1">
      <c r="B47" s="61"/>
      <c r="C47" s="129"/>
      <c r="D47" s="61"/>
      <c r="E47" s="61"/>
      <c r="F47" s="61"/>
      <c r="G47" s="61"/>
      <c r="H47" s="61"/>
      <c r="I47" s="61"/>
      <c r="O47" s="174"/>
      <c r="Q47" s="174"/>
      <c r="V47" s="174"/>
      <c r="Z47" s="174"/>
      <c r="AA47" s="174"/>
      <c r="AB47" s="174"/>
      <c r="AC47" s="174"/>
      <c r="AF47" s="174"/>
      <c r="AH47" s="174"/>
      <c r="AI47" s="174"/>
      <c r="AJ47" s="174"/>
      <c r="AK47" s="174"/>
      <c r="AP47" s="174"/>
      <c r="AR47" s="174"/>
      <c r="AS47" s="174"/>
      <c r="AT47" s="174"/>
      <c r="AU47" s="174"/>
      <c r="AZ47" s="174"/>
      <c r="BB47" s="174"/>
      <c r="BC47" s="174"/>
      <c r="BD47" s="174"/>
      <c r="BI47" s="174"/>
      <c r="BK47" s="174"/>
    </row>
    <row r="48" spans="1:65">
      <c r="Q48" s="175"/>
      <c r="Z48" s="175"/>
      <c r="AA48" s="175"/>
      <c r="AB48" s="175"/>
      <c r="AC48" s="175"/>
      <c r="AH48" s="175"/>
      <c r="AI48" s="175"/>
      <c r="AJ48" s="175"/>
      <c r="AK48" s="175"/>
      <c r="AR48" s="175"/>
      <c r="AS48" s="175"/>
      <c r="AT48" s="175"/>
      <c r="AU48" s="175"/>
      <c r="BB48" s="175"/>
      <c r="BC48" s="175"/>
      <c r="BD48" s="175"/>
      <c r="BK48" s="175"/>
    </row>
    <row r="49" spans="17:63">
      <c r="Q49" s="176"/>
      <c r="Z49" s="176"/>
      <c r="AA49" s="176"/>
      <c r="AB49" s="176"/>
      <c r="AC49" s="176"/>
      <c r="AH49" s="176"/>
      <c r="AI49" s="176"/>
      <c r="AJ49" s="176"/>
      <c r="AK49" s="176"/>
      <c r="AR49" s="176"/>
      <c r="AS49" s="176"/>
      <c r="AT49" s="176"/>
      <c r="AU49" s="176"/>
      <c r="BB49" s="176"/>
      <c r="BC49" s="176"/>
      <c r="BD49" s="176"/>
      <c r="BK49" s="176"/>
    </row>
  </sheetData>
  <mergeCells count="40">
    <mergeCell ref="B6:C6"/>
    <mergeCell ref="B12:B13"/>
    <mergeCell ref="C12:C13"/>
    <mergeCell ref="D12:D13"/>
    <mergeCell ref="E12:E13"/>
    <mergeCell ref="F12:F13"/>
    <mergeCell ref="G12:G13"/>
    <mergeCell ref="H12:J12"/>
    <mergeCell ref="K12:K13"/>
    <mergeCell ref="L12:L13"/>
    <mergeCell ref="T12:T13"/>
    <mergeCell ref="U12:U13"/>
    <mergeCell ref="V12:Z12"/>
    <mergeCell ref="M12:M13"/>
    <mergeCell ref="N12:N13"/>
    <mergeCell ref="O12:Q12"/>
    <mergeCell ref="R12:R13"/>
    <mergeCell ref="S12:S13"/>
    <mergeCell ref="AW12:AW13"/>
    <mergeCell ref="AE12:AE13"/>
    <mergeCell ref="AF12:AH12"/>
    <mergeCell ref="AL12:AL13"/>
    <mergeCell ref="AM12:AM13"/>
    <mergeCell ref="AI12:AK12"/>
    <mergeCell ref="AD12:AD13"/>
    <mergeCell ref="AA12:AC12"/>
    <mergeCell ref="AS12:AU12"/>
    <mergeCell ref="BH12:BH13"/>
    <mergeCell ref="BI12:BK12"/>
    <mergeCell ref="AX12:AX13"/>
    <mergeCell ref="AY12:AY13"/>
    <mergeCell ref="AZ12:BB12"/>
    <mergeCell ref="BE12:BE13"/>
    <mergeCell ref="BF12:BF13"/>
    <mergeCell ref="BG12:BG13"/>
    <mergeCell ref="BC12:BD12"/>
    <mergeCell ref="AN12:AN13"/>
    <mergeCell ref="AO12:AO13"/>
    <mergeCell ref="AP12:AR12"/>
    <mergeCell ref="AV12:AV1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18</vt:i4>
      </vt:variant>
      <vt:variant>
        <vt:lpstr>Named Ranges</vt:lpstr>
      </vt:variant>
      <vt:variant>
        <vt:i4>11</vt:i4>
      </vt:variant>
    </vt:vector>
  </HeadingPairs>
  <TitlesOfParts>
    <vt:vector size="29" baseType="lpstr">
      <vt:lpstr>kk (2)</vt:lpstr>
      <vt:lpstr>all (2)</vt:lpstr>
      <vt:lpstr>all</vt:lpstr>
      <vt:lpstr>npast</vt:lpstr>
      <vt:lpstr>kk</vt:lpstr>
      <vt:lpstr>ամփոփ բոլորը</vt:lpstr>
      <vt:lpstr>ամփոփ</vt:lpstr>
      <vt:lpstr>ընդհանուր</vt:lpstr>
      <vt:lpstr>սպայական</vt:lpstr>
      <vt:lpstr>տարիքային</vt:lpstr>
      <vt:lpstr>1-ին խումբ</vt:lpstr>
      <vt:lpstr>2-րդ խումբ</vt:lpstr>
      <vt:lpstr>3-րդ խումբ</vt:lpstr>
      <vt:lpstr>կերկոր 1</vt:lpstr>
      <vt:lpstr>կերկոր 2</vt:lpstr>
      <vt:lpstr>նպաստ</vt:lpstr>
      <vt:lpstr>շարքային</vt:lpstr>
      <vt:lpstr>սոցերաշխիք</vt:lpstr>
      <vt:lpstr>տարիքային!Print_Area</vt:lpstr>
      <vt:lpstr>'1-ին խումբ'!Print_Titles</vt:lpstr>
      <vt:lpstr>'2-րդ խումբ'!Print_Titles</vt:lpstr>
      <vt:lpstr>'3-րդ խումբ'!Print_Titles</vt:lpstr>
      <vt:lpstr>all!Print_Titles</vt:lpstr>
      <vt:lpstr>'all (2)'!Print_Titles</vt:lpstr>
      <vt:lpstr>kk!Print_Titles</vt:lpstr>
      <vt:lpstr>'kk (2)'!Print_Titles</vt:lpstr>
      <vt:lpstr>'կերկոր 1'!Print_Titles</vt:lpstr>
      <vt:lpstr>'կերկոր 2'!Print_Titles</vt:lpstr>
      <vt:lpstr>տարիքային!Print_Titles</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Nelli Meliqyan</dc:creator>
  <cp:lastModifiedBy>Tatevik.Mikayelyan</cp:lastModifiedBy>
  <cp:lastPrinted>2022-08-11T06:09:33Z</cp:lastPrinted>
  <dcterms:created xsi:type="dcterms:W3CDTF">2018-05-21T11:58:49Z</dcterms:created>
  <dcterms:modified xsi:type="dcterms:W3CDTF">2023-03-06T10:01:54Z</dcterms:modified>
</cp:coreProperties>
</file>