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120" yWindow="-60" windowWidth="23256" windowHeight="13116" activeTab="1"/>
  </bookViews>
  <sheets>
    <sheet name="հաշվարկ պարգևավճար" sheetId="18" r:id="rId1"/>
    <sheet name="1005" sheetId="9" r:id="rId2"/>
    <sheet name="պարգևավճար" sheetId="12" r:id="rId3"/>
    <sheet name="պատվովճար" sheetId="13" r:id="rId4"/>
  </sheets>
  <definedNames>
    <definedName name="_xlnm._FilterDatabase" localSheetId="2" hidden="1">պարգևավճար!$F$1:$F$39</definedName>
    <definedName name="_ftn1" localSheetId="1">'1005'!#REF!</definedName>
    <definedName name="_ftn2" localSheetId="1">'1005'!#REF!</definedName>
    <definedName name="_ftnref1" localSheetId="1">'1005'!$W$6</definedName>
    <definedName name="_ftnref2" localSheetId="1">'1005'!$X$6</definedName>
  </definedNames>
  <calcPr calcId="145621"/>
</workbook>
</file>

<file path=xl/calcChain.xml><?xml version="1.0" encoding="utf-8"?>
<calcChain xmlns="http://schemas.openxmlformats.org/spreadsheetml/2006/main">
  <c r="U10" i="9" l="1"/>
  <c r="V10" i="9"/>
  <c r="T10" i="9"/>
  <c r="P10" i="9"/>
  <c r="O10" i="9"/>
  <c r="N10" i="9"/>
  <c r="M10" i="9"/>
  <c r="L10" i="9"/>
  <c r="K10" i="9"/>
  <c r="G10" i="9"/>
  <c r="F10" i="9"/>
  <c r="F22" i="13"/>
  <c r="G22" i="13"/>
  <c r="H22" i="13"/>
  <c r="I22" i="13"/>
  <c r="J22" i="13"/>
  <c r="J20" i="13"/>
  <c r="D29" i="12" l="1"/>
  <c r="C29" i="12"/>
  <c r="H29" i="12"/>
  <c r="E55" i="18"/>
  <c r="H55" i="18"/>
  <c r="K55" i="18"/>
  <c r="J55" i="18"/>
  <c r="L55" i="18"/>
  <c r="G22" i="12"/>
  <c r="F21" i="12"/>
  <c r="G20" i="12"/>
  <c r="F20" i="12"/>
  <c r="F22" i="12" s="1"/>
  <c r="G19" i="12"/>
  <c r="H19" i="12"/>
  <c r="I19" i="12" s="1"/>
  <c r="J19" i="12" s="1"/>
  <c r="S33" i="18"/>
  <c r="S40" i="18"/>
  <c r="S45" i="18"/>
  <c r="S44" i="18"/>
  <c r="J50" i="18"/>
  <c r="G37" i="18"/>
  <c r="J40" i="18"/>
  <c r="G40" i="18"/>
  <c r="J45" i="18"/>
  <c r="S18" i="18"/>
  <c r="S16" i="18" s="1"/>
  <c r="S8" i="18" s="1"/>
  <c r="I54" i="18"/>
  <c r="L54" i="18"/>
  <c r="S47" i="18"/>
  <c r="S38" i="18"/>
  <c r="S50" i="18"/>
  <c r="R48" i="18"/>
  <c r="S28" i="18"/>
  <c r="S20" i="18"/>
  <c r="S13" i="18"/>
  <c r="S9" i="18"/>
  <c r="U53" i="18"/>
  <c r="R53" i="18"/>
  <c r="O53" i="18"/>
  <c r="L53" i="18"/>
  <c r="I53" i="18"/>
  <c r="F53" i="18"/>
  <c r="U52" i="18"/>
  <c r="R52" i="18"/>
  <c r="O52" i="18"/>
  <c r="L52" i="18"/>
  <c r="I52" i="18"/>
  <c r="F52" i="18"/>
  <c r="U51" i="18"/>
  <c r="U50" i="18" s="1"/>
  <c r="R51" i="18"/>
  <c r="R50" i="18" s="1"/>
  <c r="O51" i="18"/>
  <c r="L51" i="18"/>
  <c r="L50" i="18" s="1"/>
  <c r="I51" i="18"/>
  <c r="I50" i="18" s="1"/>
  <c r="F51" i="18"/>
  <c r="F50" i="18" s="1"/>
  <c r="P50" i="18"/>
  <c r="O50" i="18"/>
  <c r="M50" i="18"/>
  <c r="G50" i="18"/>
  <c r="D50" i="18"/>
  <c r="U49" i="18"/>
  <c r="R49" i="18"/>
  <c r="O49" i="18"/>
  <c r="L49" i="18"/>
  <c r="I49" i="18"/>
  <c r="F49" i="18"/>
  <c r="U48" i="18"/>
  <c r="O48" i="18"/>
  <c r="L48" i="18"/>
  <c r="I48" i="18"/>
  <c r="F48" i="18"/>
  <c r="U47" i="18"/>
  <c r="R47" i="18"/>
  <c r="R45" i="18" s="1"/>
  <c r="R44" i="18" s="1"/>
  <c r="O47" i="18"/>
  <c r="L47" i="18"/>
  <c r="I47" i="18"/>
  <c r="F47" i="18"/>
  <c r="U46" i="18"/>
  <c r="R46" i="18"/>
  <c r="O46" i="18"/>
  <c r="O45" i="18" s="1"/>
  <c r="O44" i="18" s="1"/>
  <c r="L46" i="18"/>
  <c r="L45" i="18" s="1"/>
  <c r="L44" i="18" s="1"/>
  <c r="G46" i="18"/>
  <c r="I46" i="18" s="1"/>
  <c r="I45" i="18" s="1"/>
  <c r="F46" i="18"/>
  <c r="P45" i="18"/>
  <c r="M45" i="18"/>
  <c r="M44" i="18" s="1"/>
  <c r="D45" i="18"/>
  <c r="P44" i="18"/>
  <c r="J44" i="18"/>
  <c r="U43" i="18"/>
  <c r="R43" i="18"/>
  <c r="O43" i="18"/>
  <c r="L43" i="18"/>
  <c r="G43" i="18"/>
  <c r="I43" i="18" s="1"/>
  <c r="F43" i="18"/>
  <c r="U42" i="18"/>
  <c r="R42" i="18"/>
  <c r="O42" i="18"/>
  <c r="O40" i="18" s="1"/>
  <c r="L42" i="18"/>
  <c r="I42" i="18"/>
  <c r="F42" i="18"/>
  <c r="U41" i="18"/>
  <c r="R41" i="18"/>
  <c r="O41" i="18"/>
  <c r="L41" i="18"/>
  <c r="I41" i="18"/>
  <c r="I40" i="18" s="1"/>
  <c r="F41" i="18"/>
  <c r="P40" i="18"/>
  <c r="M40" i="18"/>
  <c r="D40" i="18"/>
  <c r="R39" i="18"/>
  <c r="O39" i="18"/>
  <c r="J39" i="18"/>
  <c r="L39" i="18" s="1"/>
  <c r="I39" i="18"/>
  <c r="F39" i="18"/>
  <c r="U38" i="18"/>
  <c r="R38" i="18"/>
  <c r="R37" i="18" s="1"/>
  <c r="O38" i="18"/>
  <c r="O37" i="18" s="1"/>
  <c r="O36" i="18" s="1"/>
  <c r="L38" i="18"/>
  <c r="I38" i="18"/>
  <c r="F38" i="18"/>
  <c r="F37" i="18" s="1"/>
  <c r="P37" i="18"/>
  <c r="M37" i="18"/>
  <c r="J37" i="18"/>
  <c r="J36" i="18" s="1"/>
  <c r="I37" i="18"/>
  <c r="G36" i="18"/>
  <c r="D37" i="18"/>
  <c r="P36" i="18"/>
  <c r="D36" i="18"/>
  <c r="U35" i="18"/>
  <c r="R35" i="18"/>
  <c r="O35" i="18"/>
  <c r="L35" i="18"/>
  <c r="I35" i="18"/>
  <c r="F35" i="18"/>
  <c r="F33" i="18" s="1"/>
  <c r="U34" i="18"/>
  <c r="U33" i="18" s="1"/>
  <c r="R34" i="18"/>
  <c r="O34" i="18"/>
  <c r="L34" i="18"/>
  <c r="L33" i="18" s="1"/>
  <c r="I34" i="18"/>
  <c r="I33" i="18" s="1"/>
  <c r="F34" i="18"/>
  <c r="P33" i="18"/>
  <c r="O33" i="18"/>
  <c r="M33" i="18"/>
  <c r="J33" i="18"/>
  <c r="G33" i="18"/>
  <c r="D33" i="18"/>
  <c r="U32" i="18"/>
  <c r="R32" i="18"/>
  <c r="O32" i="18"/>
  <c r="L32" i="18"/>
  <c r="I32" i="18"/>
  <c r="U31" i="18"/>
  <c r="R31" i="18"/>
  <c r="O31" i="18"/>
  <c r="L31" i="18"/>
  <c r="I31" i="18"/>
  <c r="U30" i="18"/>
  <c r="R30" i="18"/>
  <c r="O30" i="18"/>
  <c r="L30" i="18"/>
  <c r="I30" i="18"/>
  <c r="F30" i="18"/>
  <c r="U29" i="18"/>
  <c r="R29" i="18"/>
  <c r="R28" i="18" s="1"/>
  <c r="O29" i="18"/>
  <c r="L29" i="18"/>
  <c r="I29" i="18"/>
  <c r="F29" i="18"/>
  <c r="F28" i="18" s="1"/>
  <c r="P28" i="18"/>
  <c r="M28" i="18"/>
  <c r="L28" i="18"/>
  <c r="J28" i="18"/>
  <c r="G28" i="18"/>
  <c r="D28" i="18"/>
  <c r="U27" i="18"/>
  <c r="R27" i="18"/>
  <c r="O27" i="18"/>
  <c r="L27" i="18"/>
  <c r="I27" i="18"/>
  <c r="F27" i="18"/>
  <c r="U26" i="18"/>
  <c r="R26" i="18"/>
  <c r="O26" i="18"/>
  <c r="L26" i="18"/>
  <c r="I26" i="18"/>
  <c r="F26" i="18"/>
  <c r="U25" i="18"/>
  <c r="R25" i="18"/>
  <c r="O25" i="18"/>
  <c r="L25" i="18"/>
  <c r="I25" i="18"/>
  <c r="F25" i="18"/>
  <c r="U24" i="18"/>
  <c r="R24" i="18"/>
  <c r="O24" i="18"/>
  <c r="L24" i="18"/>
  <c r="I24" i="18"/>
  <c r="F24" i="18"/>
  <c r="U23" i="18"/>
  <c r="R23" i="18"/>
  <c r="O23" i="18"/>
  <c r="L23" i="18"/>
  <c r="I23" i="18"/>
  <c r="F23" i="18"/>
  <c r="U22" i="18"/>
  <c r="R22" i="18"/>
  <c r="O22" i="18"/>
  <c r="L22" i="18"/>
  <c r="I22" i="18"/>
  <c r="F22" i="18"/>
  <c r="F20" i="18" s="1"/>
  <c r="U21" i="18"/>
  <c r="U20" i="18" s="1"/>
  <c r="R21" i="18"/>
  <c r="O21" i="18"/>
  <c r="L21" i="18"/>
  <c r="L20" i="18" s="1"/>
  <c r="I21" i="18"/>
  <c r="F21" i="18"/>
  <c r="R20" i="18"/>
  <c r="P20" i="18"/>
  <c r="M20" i="18"/>
  <c r="J20" i="18"/>
  <c r="J8" i="18" s="1"/>
  <c r="F19" i="12" s="1"/>
  <c r="I20" i="18"/>
  <c r="G20" i="18"/>
  <c r="D20" i="18"/>
  <c r="U19" i="18"/>
  <c r="R19" i="18"/>
  <c r="O19" i="18"/>
  <c r="L19" i="18"/>
  <c r="I19" i="18"/>
  <c r="F19" i="18"/>
  <c r="U18" i="18"/>
  <c r="R18" i="18"/>
  <c r="O18" i="18"/>
  <c r="L18" i="18"/>
  <c r="G18" i="18"/>
  <c r="I18" i="18" s="1"/>
  <c r="F18" i="18"/>
  <c r="U17" i="18"/>
  <c r="R17" i="18"/>
  <c r="O17" i="18"/>
  <c r="L17" i="18"/>
  <c r="L16" i="18" s="1"/>
  <c r="I17" i="18"/>
  <c r="F17" i="18"/>
  <c r="P16" i="18"/>
  <c r="M16" i="18"/>
  <c r="M8" i="18" s="1"/>
  <c r="J16" i="18"/>
  <c r="G16" i="18"/>
  <c r="D16" i="18"/>
  <c r="U15" i="18"/>
  <c r="R15" i="18"/>
  <c r="O15" i="18"/>
  <c r="L15" i="18"/>
  <c r="I15" i="18"/>
  <c r="F15" i="18"/>
  <c r="U14" i="18"/>
  <c r="R14" i="18"/>
  <c r="O14" i="18"/>
  <c r="O13" i="18" s="1"/>
  <c r="L14" i="18"/>
  <c r="L13" i="18" s="1"/>
  <c r="I14" i="18"/>
  <c r="F14" i="18"/>
  <c r="P13" i="18"/>
  <c r="M13" i="18"/>
  <c r="J13" i="18"/>
  <c r="G13" i="18"/>
  <c r="G8" i="18" s="1"/>
  <c r="D13" i="18"/>
  <c r="U12" i="18"/>
  <c r="R12" i="18"/>
  <c r="O12" i="18"/>
  <c r="L12" i="18"/>
  <c r="I12" i="18"/>
  <c r="F12" i="18"/>
  <c r="U11" i="18"/>
  <c r="R11" i="18"/>
  <c r="O11" i="18"/>
  <c r="L11" i="18"/>
  <c r="I11" i="18"/>
  <c r="F11" i="18"/>
  <c r="U10" i="18"/>
  <c r="R10" i="18"/>
  <c r="R9" i="18" s="1"/>
  <c r="O10" i="18"/>
  <c r="O9" i="18" s="1"/>
  <c r="L10" i="18"/>
  <c r="L9" i="18" s="1"/>
  <c r="I10" i="18"/>
  <c r="F10" i="18"/>
  <c r="F9" i="18" s="1"/>
  <c r="P9" i="18"/>
  <c r="M9" i="18"/>
  <c r="J9" i="18"/>
  <c r="I9" i="18"/>
  <c r="G9" i="18"/>
  <c r="D9" i="18"/>
  <c r="P8" i="18"/>
  <c r="P55" i="18" s="1"/>
  <c r="D8" i="18"/>
  <c r="D55" i="18" s="1"/>
  <c r="U9" i="18" l="1"/>
  <c r="I13" i="18"/>
  <c r="U13" i="18"/>
  <c r="F16" i="18"/>
  <c r="R16" i="18"/>
  <c r="R33" i="18"/>
  <c r="I44" i="18"/>
  <c r="F13" i="18"/>
  <c r="R13" i="18"/>
  <c r="O20" i="18"/>
  <c r="I28" i="18"/>
  <c r="L40" i="18"/>
  <c r="I36" i="18"/>
  <c r="O28" i="18"/>
  <c r="U40" i="18"/>
  <c r="L59" i="18"/>
  <c r="S39" i="18"/>
  <c r="U39" i="18" s="1"/>
  <c r="O16" i="18"/>
  <c r="O8" i="18" s="1"/>
  <c r="O55" i="18" s="1"/>
  <c r="I16" i="18"/>
  <c r="I8" i="18" s="1"/>
  <c r="L37" i="18"/>
  <c r="L36" i="18" s="1"/>
  <c r="U45" i="18"/>
  <c r="U44" i="18" s="1"/>
  <c r="M36" i="18"/>
  <c r="M55" i="18" s="1"/>
  <c r="F45" i="18"/>
  <c r="F44" i="18" s="1"/>
  <c r="F40" i="18"/>
  <c r="F36" i="18" s="1"/>
  <c r="R40" i="18"/>
  <c r="R36" i="18" s="1"/>
  <c r="I55" i="18"/>
  <c r="S37" i="18"/>
  <c r="U37" i="18"/>
  <c r="U16" i="18"/>
  <c r="U8" i="18" s="1"/>
  <c r="U28" i="18"/>
  <c r="F8" i="18"/>
  <c r="R8" i="18"/>
  <c r="L8" i="18"/>
  <c r="G45" i="18"/>
  <c r="G44" i="18" s="1"/>
  <c r="G55" i="18" s="1"/>
  <c r="L57" i="18" l="1"/>
  <c r="R55" i="18"/>
  <c r="F55" i="18"/>
  <c r="N55" i="18"/>
  <c r="Q55" i="18"/>
  <c r="S36" i="18"/>
  <c r="S55" i="18" s="1"/>
  <c r="U36" i="18"/>
  <c r="U55" i="18" s="1"/>
  <c r="T55" i="18" s="1"/>
  <c r="H20" i="12" s="1"/>
  <c r="H22" i="12" l="1"/>
  <c r="I20" i="12"/>
  <c r="J20" i="12" s="1"/>
  <c r="AA56" i="18"/>
  <c r="I22" i="12" l="1"/>
  <c r="J22" i="12" l="1"/>
  <c r="J29" i="12" s="1"/>
  <c r="I29" i="12"/>
  <c r="G8" i="9" l="1"/>
  <c r="B9" i="9" l="1"/>
  <c r="B8" i="9" s="1"/>
  <c r="D29" i="13"/>
  <c r="D32" i="13" s="1"/>
  <c r="G9" i="9" l="1"/>
  <c r="H9" i="9"/>
  <c r="I9" i="9"/>
  <c r="J9" i="9"/>
  <c r="Q9" i="9"/>
  <c r="R9" i="9"/>
  <c r="S9" i="9"/>
  <c r="E9" i="9"/>
  <c r="C29" i="13" l="1"/>
  <c r="C32" i="13" l="1"/>
  <c r="F9" i="9"/>
  <c r="P32" i="13"/>
  <c r="O32" i="13"/>
  <c r="N32" i="13"/>
  <c r="M31" i="13"/>
  <c r="L31" i="13"/>
  <c r="K31" i="13"/>
  <c r="G30" i="13"/>
  <c r="G32" i="13" s="1"/>
  <c r="F30" i="13"/>
  <c r="F32" i="13" s="1"/>
  <c r="E30" i="13"/>
  <c r="E32" i="13" s="1"/>
  <c r="J29" i="13"/>
  <c r="I29" i="13"/>
  <c r="L9" i="9" s="1"/>
  <c r="H29" i="13"/>
  <c r="I8" i="9"/>
  <c r="I10" i="9" s="1"/>
  <c r="J8" i="9"/>
  <c r="J10" i="9" s="1"/>
  <c r="Q8" i="9"/>
  <c r="Q10" i="9" s="1"/>
  <c r="R8" i="9"/>
  <c r="R10" i="9" s="1"/>
  <c r="S8" i="9"/>
  <c r="S10" i="9" s="1"/>
  <c r="W8" i="9"/>
  <c r="W10" i="9" s="1"/>
  <c r="X8" i="9"/>
  <c r="Y8" i="9"/>
  <c r="H8" i="9"/>
  <c r="H10" i="9" s="1"/>
  <c r="F8" i="9"/>
  <c r="D9" i="9"/>
  <c r="D8" i="9" s="1"/>
  <c r="E8" i="9"/>
  <c r="M29" i="13" l="1"/>
  <c r="M9" i="9"/>
  <c r="H30" i="13"/>
  <c r="H32" i="13" s="1"/>
  <c r="K9" i="9"/>
  <c r="I30" i="13"/>
  <c r="I32" i="13" s="1"/>
  <c r="L29" i="13"/>
  <c r="J30" i="13"/>
  <c r="J32" i="13" s="1"/>
  <c r="K29" i="13"/>
  <c r="K30" i="13" l="1"/>
  <c r="K32" i="13" s="1"/>
  <c r="Q32" i="13" s="1"/>
  <c r="Q29" i="13"/>
  <c r="T9" i="9" s="1"/>
  <c r="N9" i="9"/>
  <c r="S29" i="13"/>
  <c r="V9" i="9" s="1"/>
  <c r="P9" i="9"/>
  <c r="R29" i="13"/>
  <c r="U9" i="9" s="1"/>
  <c r="O9" i="9"/>
  <c r="L30" i="13"/>
  <c r="L32" i="13" s="1"/>
  <c r="R32" i="13" s="1"/>
  <c r="M30" i="13"/>
  <c r="M32" i="13" s="1"/>
  <c r="S32" i="13" s="1"/>
  <c r="G30" i="12" l="1"/>
  <c r="G32" i="12" s="1"/>
  <c r="D32" i="12"/>
  <c r="P32" i="12"/>
  <c r="O32" i="12"/>
  <c r="N32" i="12"/>
  <c r="M31" i="12"/>
  <c r="L31" i="12"/>
  <c r="K31" i="12"/>
  <c r="F30" i="12"/>
  <c r="F32" i="12" s="1"/>
  <c r="E30" i="12"/>
  <c r="E32" i="12" s="1"/>
  <c r="K29" i="12" l="1"/>
  <c r="K8" i="9"/>
  <c r="M8" i="9"/>
  <c r="H30" i="12"/>
  <c r="H32" i="12" s="1"/>
  <c r="C32" i="12"/>
  <c r="L29" i="12" l="1"/>
  <c r="L8" i="9"/>
  <c r="Q29" i="12"/>
  <c r="T8" i="9" s="1"/>
  <c r="N8" i="9"/>
  <c r="M29" i="12"/>
  <c r="J30" i="12"/>
  <c r="K30" i="12"/>
  <c r="K32" i="12" s="1"/>
  <c r="Q32" i="12" s="1"/>
  <c r="I30" i="12"/>
  <c r="S29" i="12" l="1"/>
  <c r="V8" i="9" s="1"/>
  <c r="P8" i="9"/>
  <c r="R29" i="12"/>
  <c r="U8" i="9" s="1"/>
  <c r="O8" i="9"/>
  <c r="I32" i="12"/>
  <c r="L30" i="12"/>
  <c r="L32" i="12" s="1"/>
  <c r="R32" i="12" s="1"/>
  <c r="J32" i="12"/>
  <c r="M30" i="12"/>
  <c r="M32" i="12" s="1"/>
  <c r="S32" i="12" s="1"/>
</calcChain>
</file>

<file path=xl/sharedStrings.xml><?xml version="1.0" encoding="utf-8"?>
<sst xmlns="http://schemas.openxmlformats.org/spreadsheetml/2006/main" count="495" uniqueCount="206">
  <si>
    <t>2024թ.</t>
  </si>
  <si>
    <t>2025թ.</t>
  </si>
  <si>
    <t>X</t>
  </si>
  <si>
    <t>2026թ.</t>
  </si>
  <si>
    <t>2022թ.բազային (փաստացի) տարի</t>
  </si>
  <si>
    <t>Ծրագիր</t>
  </si>
  <si>
    <t>Միջոցառում</t>
  </si>
  <si>
    <t>Ծրագրի/ միջոցառման անվանումը</t>
  </si>
  <si>
    <t>2022թ.</t>
  </si>
  <si>
    <t>2023թ.</t>
  </si>
  <si>
    <t>2026թ</t>
  </si>
  <si>
    <t>2025թ</t>
  </si>
  <si>
    <t>2024թ</t>
  </si>
  <si>
    <t>List 1</t>
  </si>
  <si>
    <t>List 2</t>
  </si>
  <si>
    <t>List 3</t>
  </si>
  <si>
    <t>Պարտադիր</t>
  </si>
  <si>
    <t>Գնային</t>
  </si>
  <si>
    <t>1. Գոյություն ունեցող միջոցառումը՝</t>
  </si>
  <si>
    <t>Հայեցողական (շարունակական)</t>
  </si>
  <si>
    <t>Ոչ գնային</t>
  </si>
  <si>
    <t>Հայեցողական (ոչ շարունակական)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</si>
  <si>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</si>
  <si>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</si>
  <si>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t xml:space="preserve">2022թ.- բազային տարի (փաստ) </t>
  </si>
  <si>
    <t>2023թ. (սպասողական)</t>
  </si>
  <si>
    <t xml:space="preserve">5. Միջոցառման գծով ծախսերի ամփոփ հաշվարկը՝ </t>
  </si>
  <si>
    <t>Գնային գործոններով պայմանավորված ծախսերի ընդհանուր փոփոխությունը (+/-)</t>
  </si>
  <si>
    <t>Ոչ գնային գործոններով պայմանավորված ծախսերի ընդհանուր փոփոխությունը (+/-)</t>
  </si>
  <si>
    <t xml:space="preserve">Միջոցառման գծով ճշգրտված բազային բյուջեն </t>
  </si>
  <si>
    <r>
      <t>Ընդամենը փոփոխության չենթարկված ծախսեր (հազ. դրամ)</t>
    </r>
    <r>
      <rPr>
        <vertAlign val="superscript"/>
        <sz val="9"/>
        <color theme="1"/>
        <rFont val="GHEA Grapalat"/>
        <family val="3"/>
      </rPr>
      <t>16</t>
    </r>
  </si>
  <si>
    <r>
      <t>ԸՆԴԱՄԵՆԸ (հազ. դրամ)</t>
    </r>
    <r>
      <rPr>
        <vertAlign val="superscript"/>
        <sz val="9"/>
        <color theme="1"/>
        <rFont val="GHEA Grapalat"/>
        <family val="3"/>
      </rPr>
      <t>17</t>
    </r>
  </si>
  <si>
    <r>
      <t>Ծրագրային դասիչը</t>
    </r>
    <r>
      <rPr>
        <vertAlign val="superscript"/>
        <sz val="8"/>
        <color theme="1"/>
        <rFont val="GHEA Grapalat"/>
        <family val="3"/>
      </rPr>
      <t>[2]</t>
    </r>
  </si>
  <si>
    <r>
      <t>Ընդամենը ծախսեր (հազ. դրամ)</t>
    </r>
    <r>
      <rPr>
        <vertAlign val="superscript"/>
        <sz val="8"/>
        <color theme="1"/>
        <rFont val="GHEA Grapalat"/>
        <family val="3"/>
      </rPr>
      <t>14</t>
    </r>
  </si>
  <si>
    <r>
      <t>Միջոցառման հիմքում դրված ծախսային պարտավորության բնույթը՝ (ընտրել)</t>
    </r>
    <r>
      <rPr>
        <vertAlign val="superscript"/>
        <sz val="8"/>
        <color theme="1"/>
        <rFont val="GHEA Grapalat"/>
        <family val="3"/>
      </rPr>
      <t>4</t>
    </r>
  </si>
  <si>
    <t xml:space="preserve">Ծրագրի </t>
  </si>
  <si>
    <t>Բյուջետային ծախսերը (հազ. դրամ)</t>
  </si>
  <si>
    <t>2023թ.(պլանային)</t>
  </si>
  <si>
    <t>Ծախսային խնայողությունների գծով ամփոփ առաջարկը</t>
  </si>
  <si>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</si>
  <si>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</si>
  <si>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r>
      <t>Ընդամենը փոփոխության ենթարկված ծախսեր (հազ. դրամ)</t>
    </r>
    <r>
      <rPr>
        <vertAlign val="superscript"/>
        <sz val="9"/>
        <color theme="1"/>
        <rFont val="GHEA Grapalat"/>
        <family val="3"/>
      </rPr>
      <t>15</t>
    </r>
  </si>
  <si>
    <t>Ընդամենը</t>
  </si>
  <si>
    <t>Ծրագրի /միջոցառման նախատեսվող ավարտը</t>
  </si>
  <si>
    <t>Ծրագրի /միջոցառման սկիզբը</t>
  </si>
  <si>
    <r>
      <t>Հավելված N 1. Գոյություն ունեցող պարտավորությունների գծով ծախսակազմումների ամփոփ ձևաչափ</t>
    </r>
    <r>
      <rPr>
        <b/>
        <vertAlign val="superscript"/>
        <sz val="12"/>
        <color theme="1"/>
        <rFont val="GHEA Grapalat"/>
        <family val="3"/>
      </rPr>
      <t>*</t>
    </r>
  </si>
  <si>
    <r>
      <t>Ձևաչափ N 1. Գոյություն ունեցող պարտավորությունների գծով ամփոփ տեղեկատվություն</t>
    </r>
    <r>
      <rPr>
        <b/>
        <vertAlign val="superscript"/>
        <sz val="10"/>
        <color theme="1"/>
        <rFont val="GHEA Grapalat"/>
        <family val="3"/>
      </rPr>
      <t>1</t>
    </r>
    <r>
      <rPr>
        <b/>
        <sz val="10"/>
        <color theme="1"/>
        <rFont val="GHEA Grapalat"/>
        <family val="3"/>
      </rPr>
      <t xml:space="preserve"> </t>
    </r>
  </si>
  <si>
    <r>
      <t>Ծրագրի դասիչը</t>
    </r>
    <r>
      <rPr>
        <vertAlign val="superscript"/>
        <sz val="9"/>
        <color theme="1"/>
        <rFont val="GHEA Grapalat"/>
        <family val="3"/>
      </rPr>
      <t>2</t>
    </r>
    <r>
      <rPr>
        <sz val="9"/>
        <color theme="1"/>
        <rFont val="GHEA Grapalat"/>
        <family val="3"/>
      </rPr>
      <t>՝</t>
    </r>
  </si>
  <si>
    <r>
      <t>Ծրագրի անվանումը</t>
    </r>
    <r>
      <rPr>
        <vertAlign val="superscript"/>
        <sz val="9"/>
        <color theme="1"/>
        <rFont val="GHEA Grapalat"/>
        <family val="3"/>
      </rPr>
      <t>3</t>
    </r>
    <r>
      <rPr>
        <sz val="9"/>
        <color theme="1"/>
        <rFont val="GHEA Grapalat"/>
        <family val="3"/>
      </rPr>
      <t>՝</t>
    </r>
  </si>
  <si>
    <r>
      <t>Միջոցառման դասիչը</t>
    </r>
    <r>
      <rPr>
        <vertAlign val="superscript"/>
        <sz val="9"/>
        <color theme="1"/>
        <rFont val="GHEA Grapalat"/>
        <family val="3"/>
      </rPr>
      <t>4</t>
    </r>
    <r>
      <rPr>
        <sz val="9"/>
        <color theme="1"/>
        <rFont val="GHEA Grapalat"/>
        <family val="3"/>
      </rPr>
      <t>՝</t>
    </r>
  </si>
  <si>
    <r>
      <t>Միջոցառման անվանումը</t>
    </r>
    <r>
      <rPr>
        <vertAlign val="superscript"/>
        <sz val="9"/>
        <color theme="1"/>
        <rFont val="GHEA Grapalat"/>
        <family val="3"/>
      </rPr>
      <t>5</t>
    </r>
    <r>
      <rPr>
        <sz val="9"/>
        <color theme="1"/>
        <rFont val="GHEA Grapalat"/>
        <family val="3"/>
      </rPr>
      <t>՝</t>
    </r>
  </si>
  <si>
    <r>
      <t>Ծրագրի /միջոցառման սկիզբը</t>
    </r>
    <r>
      <rPr>
        <vertAlign val="superscript"/>
        <sz val="9"/>
        <color theme="1"/>
        <rFont val="GHEA Grapalat"/>
        <family val="3"/>
      </rPr>
      <t>6</t>
    </r>
  </si>
  <si>
    <r>
      <t>Ծրագրի /միջոցառման նախատեսվող ավարտը</t>
    </r>
    <r>
      <rPr>
        <vertAlign val="superscript"/>
        <sz val="9"/>
        <color theme="1"/>
        <rFont val="GHEA Grapalat"/>
        <family val="3"/>
      </rPr>
      <t>7</t>
    </r>
  </si>
  <si>
    <r>
      <t>Ծախսային պարտավորության բնույթը</t>
    </r>
    <r>
      <rPr>
        <vertAlign val="superscript"/>
        <sz val="9"/>
        <color theme="1"/>
        <rFont val="GHEA Grapalat"/>
        <family val="3"/>
      </rPr>
      <t>8</t>
    </r>
  </si>
  <si>
    <r>
      <t>Պարտադիր կամ հայեցողական  պարտավորությունների շրջանակը</t>
    </r>
    <r>
      <rPr>
        <vertAlign val="superscript"/>
        <sz val="9"/>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</si>
  <si>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9"/>
        <color theme="1"/>
        <rFont val="GHEA Grapalat"/>
        <family val="3"/>
      </rPr>
      <t>10</t>
    </r>
  </si>
  <si>
    <r>
      <t>Պարտադիր կամ հայեցողական պարտավորությունը սահմանող օրենսդրական հիմքերը</t>
    </r>
    <r>
      <rPr>
        <vertAlign val="superscript"/>
        <sz val="9"/>
        <color theme="1"/>
        <rFont val="GHEA Grapalat"/>
        <family val="3"/>
      </rPr>
      <t>11</t>
    </r>
  </si>
  <si>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</si>
  <si>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</si>
  <si>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</si>
  <si>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</si>
  <si>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</si>
  <si>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</si>
  <si>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</si>
  <si>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</si>
  <si>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</si>
  <si>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</si>
  <si>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</si>
  <si>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</si>
  <si>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</si>
  <si>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</si>
  <si>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չի նախատեսվում</t>
  </si>
  <si>
    <t>դրամ</t>
  </si>
  <si>
    <t>հազար դրամ</t>
  </si>
  <si>
    <t xml:space="preserve">ԸՆԴԱՄԵՆԸ </t>
  </si>
  <si>
    <t>Ընդամենը ծախս</t>
  </si>
  <si>
    <t>ավելի քան 5 տարի</t>
  </si>
  <si>
    <t>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</si>
  <si>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Վետերանների պատվովճար</t>
  </si>
  <si>
    <t xml:space="preserve"> Պարգևավճարներ և պատվովճարներ</t>
  </si>
  <si>
    <t>Օրենքով սահմանված կարգով Հայրենական մեծ պատերազմի մասնակիցներին նշանակվում և վճարվում է պատվովճար</t>
  </si>
  <si>
    <t>Օրենքով սահմանված կարգով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նշանակվում և վճարվում է պարգևավճար</t>
  </si>
  <si>
    <t>Պարգևավճարները նշանակում և վճարում է ծառայությունը, չափերն ըստ առանձին կատեգորիաների սահմանում է Կառավարությունը:</t>
  </si>
  <si>
    <t>«Հայրենական մեծ պատերազմի վետերանների մասին»  օրենքի 4-րդ հոդված
Կառավարության  2008 թվականի մայիսի 15-ի N 444-Ն որոշում</t>
  </si>
  <si>
    <t>Պարգևավճար ստացողների թիվը</t>
  </si>
  <si>
    <t>Զինվորական կենսաթոշակ ստանալու իրավունք ունեցող</t>
  </si>
  <si>
    <t>Հայրենական մեծ պատերազմում կամ այլ պետություններում ԽՍՀՄ զինված ուժերի կազմում մարտական գործողություններին մասնակցելու հետևանքով կամ ԽՍՀՄ զինված ուժերի կազմում ծառայողական պարտականությունները կատարելիս՝ հաշմանդամություն ձեռք բերած անձինք</t>
  </si>
  <si>
    <t>1-ին խմբի հաշմանդամություն ունեցող անձը</t>
  </si>
  <si>
    <t>2-րդ խմբի հաշմանդամություն ունեցող անձը</t>
  </si>
  <si>
    <t>3-րդ խմբի հաշմանդամություն ունեցող անձը</t>
  </si>
  <si>
    <t>ԽՍՀՄ զինված ուժերի կազմում զինվորական ծառայության ընթացքում հաշմանդամություն ձեռք բերած անձինք</t>
  </si>
  <si>
    <t>Հայաստանի Հանրապետության պաշտպանության մարտական գործողությունների ժամանակ կամ այլ պետություններում մարտական գործողությունների (խաղաղապահ առաքելությունների, զորավարժությունների) ժամանակ կամ համապատասխան մարմիններում ծառայողական պարտականությունները կատարելու կամ հակառակորդի հետ շփման գծում մարտական հերթապահության կամ հատուկ առաջադրանք կատարելու կամ հակառակորդի նախահարձակ գործողության հետևանքով հաշմանդամություն ձեռք բերած անձինք</t>
  </si>
  <si>
    <t>համապատասխան մարմիններում զինվորական ծառայության կամ պահեստազորի վարժական հավաքներին մասնակցելու ընթացքում հաշմանդամություն ձեռք բերած անձինք</t>
  </si>
  <si>
    <t>Հայրենական մեծ պատերազմի մասնակիցները կամ այլ պետություններում ԽՍՀՄ զինված ուժերի կազմում մարտական գործողությունների մասնակիցները</t>
  </si>
  <si>
    <t>Հայաստանի Հանրապետության պաշտպանության մարտական գործողությունների մասնակիցները</t>
  </si>
  <si>
    <t>Հայաստանի Հանրապետության ազգային հերոսները</t>
  </si>
  <si>
    <t>«Մարտական խաչ» շքանշանով պարգևատրված անձինք</t>
  </si>
  <si>
    <t>Հայաստանի Հանրապետության պաշտպանության ժամանակ կամ ծառայողական պարտականությունները կատարելիս զոհված զինծառայողի ընտանիքի անդամները՝</t>
  </si>
  <si>
    <t xml:space="preserve">յուրաքանչյուր երեխան </t>
  </si>
  <si>
    <t xml:space="preserve">յուրաքանչյուր այլ անդամ </t>
  </si>
  <si>
    <t xml:space="preserve">Հայաստանի Հանրապետության պաշտպանության ժամանակ կամ ծառայողական պարտականությունները կատարելիս կամ այլ պետություններում ԽՍՀՄ զինված ուժերի կազմում մարտական գործողություններին մասնակցելու հետևանքով կամ ծառայողական պարտականությունները կատարելիս զոհված զինծառայողի ընտանիքի` հաշմանդամության զինվորական կամ 63 տարին լրացած` երկարամյա ծառայության զինվորական կենսաթոշակ ստանալու իրավունք ունեցող յուրաքանչյուր անդամը, եթե չունի կերակրողին կորցնելու դեպքում զինվորական կենսաթոշակ ստանալու իրավունք անկախ կերակրողին կորցնելու դեպքում զինվորական կենսաթոշակի իրավունք ունենալու հանգամանքից` </t>
  </si>
  <si>
    <t>Մահացած զինծառայողի ընտանիքի՝ կերակրողին կորցնելու դեպքում զինվորական կենսաթոշակի իրավունք ունեցող, սակայն այդպիսի կենսաթոշակ ստանալու իրավունք չունեցող և հաշմանդամության կամ երկարամյա ծառայության զինվորական կենսաթոշակ ստանալու իրավունք ունեցող յուրաքանչյուր անդամը</t>
  </si>
  <si>
    <t xml:space="preserve">Աշխատանքային կենսաթոշակ կամ ծերության նպաստ, կամ հաշմանդամության նպաստ, կամ կերակրողին կորցնելու դեպքում նպաստ ստանալու իրավունք ունեցող՝ </t>
  </si>
  <si>
    <t xml:space="preserve"> ԽՍՀՄ զինված ուժերի կազմում ծառայողական պարտականությունները կատարելիս հաշմանդամություն ձեռք բերած անձինք</t>
  </si>
  <si>
    <t>Հայրենական մեծ պատերազմի կամ այլ պետություններում ԽՍՀՄ զինված ուժերի կազմում մարտական գործողությունների մասնակիցները, պատերազմի տարիներին Լենինգրադի բլոկադայի մասնակիցները, ֆաշիստական համակենտրոնացման ճամբարների նախկին անչափահաս գերիները</t>
  </si>
  <si>
    <t>Տարիքային աշխատանքային կենսաթոշակ կամ հաշմանդամության աշխատանքային կենսաթոշակ, կամ ծերության նպաստ, կամ հաշմանդամության նպաստ ստանալու իրավունք ունեցող՝</t>
  </si>
  <si>
    <t>կերակրողին կորցնելու դեպքում զինվորական կենսաթոշակի իրավունք ունեցող, սակայն զինվորական կենսաթոշակ չստացող՝ մահացած զինծառայողի ընտանիքի անդամներ</t>
  </si>
  <si>
    <t>Հայաստանի Հանրապետության պաշտպանության ժամանակ կամ ծառայողական պարտականությունները կատարելիս զոհված, Հայրենական մեծ պատերազմում կամ այլ պետություններում մարտական գործողություններին մասնակցելու հետևանքով կամ ծառայողական պարտականությունները կատարելիս զոհված զինծառայողի ընտանիքի անդամները (անկախ կերակրողին կորցնելու դեպքում զինվորական կենսաթոշակի իրավունք ունենալու հանգամանքից)</t>
  </si>
  <si>
    <t>յուրաքանչյուր երեխան /զոհված երկու զինծառայողի դեպքում պարգևավճարը կրկնապատկվում է/</t>
  </si>
  <si>
    <t>յուրաքանչյուր այլ անդամ /զոհված երկու զինծառայողի դեպքում պարգևավճարը կրկնապատկվում է/</t>
  </si>
  <si>
    <t>Պետական կենսաթոշակ կամ ծերության նպաստ, կամ հաշմանդամության նպաստ, կամ կերակրողին կորցնելու դեպքում նպաստ ստանալու իրավունք չունեցող՝ ԽՍՀՄ զինված ուժերի կազմում այլ պետություններում մարտական գործողությունների մասնակիցները</t>
  </si>
  <si>
    <t>Զոհված զինծառայողների ընտանիքը (ծնողները, ամուսինը, 18 տարին չլրացած երեխան (ուսումնական հաստատությունում առկա (ցերեկային) ուսուցմամբ սովորելու դեպքում` մինչև ուսումնական հաստատությունն ավարտելը, բայց մինչև իր 26 տարին լրանալը), 18 տարեկան և դրանից բարձր տարիքի հաշմանդամ զավակը, եթե նա հաշմանդամ է ճանաչվել մինչև իր 18 տարին լրանալը և ունի աշխատանքային գործունեությամբ զբաղվելու կարողության 3-րդ աստիճանի սահմանափակում)</t>
  </si>
  <si>
    <t xml:space="preserve">Հայաստանի Հանրապետության պաշտպանության ժամանակ կամ ծառայողական պարտականությունները կատարելիս զոհված զինծառայողի՝ </t>
  </si>
  <si>
    <t>ընտանիքը, որին ավելացվում է</t>
  </si>
  <si>
    <t>կերակրողին կորցնելու դեպքում կենսաթոշակ ստացող յուրաքանչյուր երեխայի (առկա (ցերեկային) ուսուցմամբ սովորող՝ 26 տարին չլրացած զավակի) համար՝ լրացուցիչ</t>
  </si>
  <si>
    <t>Հայրենական մեծ պատերազմում կամ այլ պետություններում մարտական գործողություններին մասնակցելու հետևանքով կամ ծառայողական պարտականությունները կատարելիս զոհված զինծառայողի ընտանիքը (ծնողները, ամուսինը, 18 տարեկան և դրանից բարձր տարիքի հաշմանդամ զավակը, եթե նա հաշմանդամ է ճանաչվել մինչև իր 18 տարին լրանալը և ունի աշխատանքային գործունեությամբ զբաղվելու կարողության 3-րդ աստիճանի սահմանափակում)</t>
  </si>
  <si>
    <t>Մահացած զինծառայողների ընտանիքների անդամները (ի կատարումն ՀՀ կառավարության 20.09.2012թ. N 1238-Ն որոշման)</t>
  </si>
  <si>
    <t>Զոհված զինծառայողների ընտանիքները`</t>
  </si>
  <si>
    <t>Հայաստանի Հանրապետության պաշտպանության ժամանակ, ինչպես նաև ծառայողական կամ պաշտոնեական պարտականությունները կատարելիս զոհված՝ հետմահու «Հայաստանի ազգային հերոս» Հայաստանի Հանրապետության բարձրագույն կոչում ստացած անձի ընտանիքը`</t>
  </si>
  <si>
    <t>Հայաստանի Հանրապետության պաշտպանության ժամանակ, ինչպես նաև ծառայողական կամ պաշտոնեական պարտականությունները կատարելիս զոհված՝ հետմահու առաջին աստիճանի «Մարտական խաչ» շքանշանով պարգևատրված անձի ընտանիքը՝</t>
  </si>
  <si>
    <t>Հայաստանի Հանրապետության պաշտպանության ժամանակ, ինչպես նաև ծառայողական կամ պաշտոնեական պարտականությունները կատարելիս զոհված՝ հետմահու երկրորդ աստիճանի «Մարտական խաչ» շքանշանով պարգևատրված անձի ընտանիքը</t>
  </si>
  <si>
    <t>նախորդող մեկ տարվա ժամանակահատվածում չստացողներ</t>
  </si>
  <si>
    <t>1.</t>
  </si>
  <si>
    <t>1.1.</t>
  </si>
  <si>
    <t>1.2.</t>
  </si>
  <si>
    <t>1.3.</t>
  </si>
  <si>
    <t>1.4.</t>
  </si>
  <si>
    <t>1.5.</t>
  </si>
  <si>
    <t>1.6.</t>
  </si>
  <si>
    <t>1.7.</t>
  </si>
  <si>
    <t>1.8.</t>
  </si>
  <si>
    <t>1.9.</t>
  </si>
  <si>
    <t>1.10.</t>
  </si>
  <si>
    <t>1.11.</t>
  </si>
  <si>
    <t>2.1.</t>
  </si>
  <si>
    <t>2.2.</t>
  </si>
  <si>
    <t>3.</t>
  </si>
  <si>
    <t>3.1.</t>
  </si>
  <si>
    <t>3.2.</t>
  </si>
  <si>
    <t>4.</t>
  </si>
  <si>
    <t>5.</t>
  </si>
  <si>
    <t>5.1.</t>
  </si>
  <si>
    <t>5.2.</t>
  </si>
  <si>
    <t>5.3.</t>
  </si>
  <si>
    <t>6**</t>
  </si>
  <si>
    <t>6.1.</t>
  </si>
  <si>
    <t>6.2.</t>
  </si>
  <si>
    <t>6.3.</t>
  </si>
  <si>
    <t>մարդ</t>
  </si>
  <si>
    <t xml:space="preserve"> «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 միջոցառման ծախսերի հաշվարկ</t>
  </si>
  <si>
    <t>2020թ փաստացի պետական բյուջե</t>
  </si>
  <si>
    <t>2021թ. Փաստացի</t>
  </si>
  <si>
    <t>2022թ. Փաստացի</t>
  </si>
  <si>
    <t xml:space="preserve">2023-2025թ.հաստատված ՄԺԾԾ </t>
  </si>
  <si>
    <t>2023թ. Հաստատված բյուջե</t>
  </si>
  <si>
    <t>2024-2026 թթ ՄԺԾԾ հայտ</t>
  </si>
  <si>
    <t>Ցուցանիշներ*</t>
  </si>
  <si>
    <t>պարգևավճար ստացողների միջին թվաքանակը</t>
  </si>
  <si>
    <t>պարգևավճարի ամսական չափը</t>
  </si>
  <si>
    <t>գումարը</t>
  </si>
  <si>
    <t>պարգևավճար ստացողների թիվ /մարդ/</t>
  </si>
  <si>
    <t>պարգևավճարի ամսական չափը /դրամ/</t>
  </si>
  <si>
    <t>պարգևավճարի ընդհանուր ծախսը /հազ. դրամ/</t>
  </si>
  <si>
    <t xml:space="preserve">ՏՏ-ի 01-01-2023 տվյալներով </t>
  </si>
  <si>
    <t>Հայրենական մեծ պատերազմում կամ այլ պետություններում մարտական գործողություններին մասնակցելու հետևանքով կամ ծառայողական պարտականությունները կատարելիս հաշմանդամ դարձած անձինք</t>
  </si>
  <si>
    <t>1-ին խմբի հաշմանդամը</t>
  </si>
  <si>
    <t>2-րդ խմբի հաշմանդամը</t>
  </si>
  <si>
    <t>3-րդ խմբի հաշմանդամը</t>
  </si>
  <si>
    <t>Այլ պետություններում զինվորական ծառայության ընթացքում հաշմանդամ դարձած անձինք</t>
  </si>
  <si>
    <t>Հայաստանի Հանրապետության պաշտպանության ժամանակ կամ ծառայողական պարտականությունները կատարելիս հաշմանդամ դարձած անձինք</t>
  </si>
  <si>
    <t>Հայաստանի Հանրապետությունում զինվորական ծառայության ընթացքում հաշմանդամ դարձած անձինք</t>
  </si>
  <si>
    <t>Հայրենական մեծ պատերազմի մասնակիցներ կամ այլ պետություններում մարտական գործողությունների մասնակիցներ</t>
  </si>
  <si>
    <t>Հայաստանի Հանրապետության պաշտպանության մարտական գործողությունների մասնակիցներ</t>
  </si>
  <si>
    <t>Հայաստանի Հանրապետության ազգային հերոսներ</t>
  </si>
  <si>
    <t>Մարտական խաչ շքանշանով պարգևատրված անձինք</t>
  </si>
  <si>
    <t>Հայաստանի Հանրապետության պաշտպանության ժամանակ կամ ծառայողական պարտականությունները կատարելիս զոհված  զինծառայողի ընտանիքի անդամները</t>
  </si>
  <si>
    <t>2.</t>
  </si>
  <si>
    <t>Աշխատանքային կամ սոցիալական կենսաթոշակ ստանալու իրավունք ունեցող հետևյալ կատեգորիաների անձինք`</t>
  </si>
  <si>
    <t>Հայրենական մեծ պատերազմում կամ այլ պետություններում մարտական գործողություններին մասնակցելու հետևանքով, կամ ծառայողական պարտականությունները կատարելիս հաշմանդամ դարձած անձինք</t>
  </si>
  <si>
    <t>2.3.</t>
  </si>
  <si>
    <t>Հայրենական մեծ պատերազմի մասնակիցները, պատերազմի տարիներին Լենինգրադի բլոկադայի մասնակիցները, ֆաշիստական համակենտրոնացման ճամբարների նախկին անչափահաս գերիները կամ այլ պետություններում մարտական գործողությունների մասնակիցները</t>
  </si>
  <si>
    <t>Աշխատանքային կամ սոցիալական կենսաթոշակ ստացող և կերակրողին կորցնելու դեպքում զինվորական կենսաթոշակի իրավունք ունեցող, սակայն զինվորական կենսաթոշակ չստացող հետևյալ կատեգորիաների անձինք</t>
  </si>
  <si>
    <t>Հայաստանի Հանրապետության պաշտպանության ժամանակ կամ ծառայողական պարտականությունները կատարելիս զոհված կամ զինծառայության ընթացքում մահացած զինծառայողի ընտանիքի անդամները (ընդամենը)</t>
  </si>
  <si>
    <t>Հայրենական մեծ պատերազմում կամ այլ պետություններում մարտական գործողությունների մասնակցելու հետևանքով կամ ծառայողական պարտականությունները կատարելիս զոհված զինծառայողի ընտանիքի անդամը</t>
  </si>
  <si>
    <t>Պետական կենսաթոշակի իրավունք չունեցող (կենսաթոշակ չստացող)՝ այլ պետություններում մարտական գործողությունների մասնակիցները</t>
  </si>
  <si>
    <t>Անկախ ընտանիքում կենսաթոշակառու լինելու հանգամանքից զոհված զինծառայողների ընտանիքները</t>
  </si>
  <si>
    <t xml:space="preserve">Հայաստանի Հանրապետության պաշտպանության ժամանակ կամ ծառայողական պարտականությունները կատարելիս զոհված զինծառայողի ընտանիքը, այդ թվում </t>
  </si>
  <si>
    <t>յուրաքանչյուր երեխան (թվաքանակը)</t>
  </si>
  <si>
    <t>Հայրենական մեծ պատերազմում կամ այլ պետություններում մարտական գործողություններին մասնակցելու հետևանքով, կամ ծառայողական պարտականությունները կատարելիս զոհված զինծառայողի ընտանիքը</t>
  </si>
  <si>
    <t>Ընդամենը (ՀՀ և ԼՂՀ)</t>
  </si>
  <si>
    <t>պահանջ</t>
  </si>
  <si>
    <t>նախավճար պարգևավճար</t>
  </si>
  <si>
    <t>ընդամենը պարգևավճար</t>
  </si>
  <si>
    <t>*</t>
  </si>
  <si>
    <t>Ցուցանիշները համապատասխանեցվել են ՀՀ կառավարության 2021 թվականի փետրվարի 4-ի N141-Ն որոշմամբ հաստատված ցուցանիշներին</t>
  </si>
  <si>
    <t>նախավճար 6-րդ կետով</t>
  </si>
  <si>
    <t>**</t>
  </si>
  <si>
    <t>Ընդամենը հանրագումարին մասնակցում են  միայն «2024-2026 թթ ՄԺԾԾ հայտ» սյունակների ցուցանիշները, քանի որ առ 2023 թվականը վճարումը իրականացվում է «Զոհված՝ հետմահու «Հայաստանի ազգային հերոս» ՀՀ բարձրագույն կոչում ստացած կամ «Մարտական խաչ» շքանշանով պարգևատրված անձի ընտանիքին տրվող պարգևավճար» միջոցառմամբ նախատեսված ֆինանսական միջոցներից</t>
  </si>
  <si>
    <t>ընդամենը 6-րդ կետով</t>
  </si>
  <si>
    <t>ոչ գնային</t>
  </si>
  <si>
    <t>«Զինվորական ծառայության և զինծառայողի կարգավիճակի մասին» օրենքի 70-րդ հոդված
«Հայրենական մեծ պատերազմի վետերանների մասին»  օրենքի 4-րդ հոդված
1994 թվականի ապրիլի 15-ին Անկախ Պետությունների Համագործակցության մասնակից պետությունների կառավարությունների կնքած «Հայրենական մեծ պատերազմի մասնակիցների և հաշմանդամների, այլ պետությունների տարածքներում մարտական գործողությունների մասնակիցների, զոհված զինծառայողների ընտանիքների արտոնությունների և երաշխիքների փոխադարձ ճանաչման մասին» համաձայնագիր
ՀՀ կառավարության 2021 թվականի փետրվարի 4-ի N 141-Ն որոշում</t>
  </si>
  <si>
    <t>Պարգևավճարների միջին կշռված չափը</t>
  </si>
  <si>
    <t>ՀՀ կառավարության 2021 թվականի փետրվարի 4-ի N 141-Ն որոշում</t>
  </si>
  <si>
    <t>պարգևավճարները վճարվում են կենսաթոշակների համար սահմնավծ կարգով և հետևաբար օրենսդրությամբ սահմանված դեպքերում վճարվում է հետադարձով՝ դիմելուն նախորդող մասիների համար</t>
  </si>
  <si>
    <t>Պատվովճար ստացողների թիվը</t>
  </si>
  <si>
    <t>Պատվովճարի  չափը</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</si>
</sst>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_(* #,##0_);_(* \(#,##0\);_(* &quot;-&quot;??_);_(@_)"/>
    <numFmt numFmtId="169" formatCode="0.0"/>
    <numFmt numFmtId="170" formatCode="_(* #,##0.0_);_(* \(#,##0.0\);_(* &quot;-&quot;??_);_(@_)"/>
    <numFmt numFmtId="171" formatCode="#,##0.0"/>
  </numFmts>
  <fonts count="24" x14ac:knownFonts="1">
    <font>
      <sz val="11"/>
      <color theme="1"/>
      <name val="Calibri"/>
      <family val="2"/>
      <scheme val="minor"/>
    </font>
    <font>
      <b/>
      <sz val="12"/>
      <color theme="1"/>
      <name val="GHEA Grapalat"/>
      <family val="3"/>
    </font>
    <font>
      <b/>
      <vertAlign val="superscript"/>
      <sz val="12"/>
      <color theme="1"/>
      <name val="GHEA Grapalat"/>
      <family val="3"/>
    </font>
    <font>
      <sz val="9"/>
      <color theme="1"/>
      <name val="GHEA Grapalat"/>
      <family val="3"/>
    </font>
    <font>
      <vertAlign val="superscript"/>
      <sz val="9"/>
      <color theme="1"/>
      <name val="GHEA Grapalat"/>
      <family val="3"/>
    </font>
    <font>
      <sz val="8"/>
      <color theme="1"/>
      <name val="GHEA Grapalat"/>
      <family val="3"/>
    </font>
    <font>
      <b/>
      <sz val="10"/>
      <color theme="1"/>
      <name val="GHEA Grapalat"/>
      <family val="3"/>
    </font>
    <font>
      <b/>
      <sz val="9"/>
      <color theme="1"/>
      <name val="GHEA Grapalat"/>
      <family val="3"/>
    </font>
    <font>
      <sz val="10"/>
      <color theme="1"/>
      <name val="GHEA Grapalat"/>
      <family val="3"/>
    </font>
    <font>
      <b/>
      <vertAlign val="superscript"/>
      <sz val="10"/>
      <color theme="1"/>
      <name val="GHEA Grapalat"/>
      <family val="3"/>
    </font>
    <font>
      <sz val="11"/>
      <color theme="1"/>
      <name val="GHEA Grapalat"/>
      <family val="3"/>
    </font>
    <font>
      <vertAlign val="superscript"/>
      <sz val="8"/>
      <color theme="1"/>
      <name val="GHEA Grapalat"/>
      <family val="3"/>
    </font>
    <font>
      <sz val="11"/>
      <color theme="1"/>
      <name val="Calibri"/>
      <family val="2"/>
      <scheme val="minor"/>
    </font>
    <font>
      <sz val="10"/>
      <name val="Arial"/>
      <family val="2"/>
    </font>
    <font>
      <sz val="10"/>
      <color indexed="8"/>
      <name val="Arial"/>
      <family val="2"/>
      <charset val="204"/>
    </font>
    <font>
      <b/>
      <sz val="8"/>
      <color indexed="8"/>
      <name val="GHEA Grapalat"/>
      <family val="3"/>
    </font>
    <font>
      <sz val="8"/>
      <color indexed="8"/>
      <name val="GHEA Grapalat"/>
      <family val="3"/>
    </font>
    <font>
      <b/>
      <sz val="10"/>
      <name val="GHEA Grapalat"/>
      <family val="3"/>
    </font>
    <font>
      <sz val="10"/>
      <name val="GHEA Grapalat"/>
      <family val="3"/>
    </font>
    <font>
      <sz val="10"/>
      <color indexed="8"/>
      <name val="GHEA Grapalat"/>
      <family val="3"/>
    </font>
    <font>
      <b/>
      <sz val="10"/>
      <color indexed="8"/>
      <name val="GHEA Grapalat"/>
      <family val="3"/>
    </font>
    <font>
      <sz val="8"/>
      <name val="GHEA Grapalat"/>
      <family val="3"/>
    </font>
    <font>
      <b/>
      <sz val="12"/>
      <color indexed="8"/>
      <name val="GHEA Grapalat"/>
      <family val="3"/>
    </font>
    <font>
      <b/>
      <sz val="8"/>
      <name val="GHEA Grapalat"/>
      <family val="3"/>
    </font>
  </fonts>
  <fills count="12">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indexed="9"/>
        <bgColor indexed="64"/>
      </patternFill>
    </fill>
    <fill>
      <patternFill patternType="solid">
        <fgColor theme="6"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43" fontId="12" fillId="0" borderId="0" applyFont="0" applyFill="0" applyBorder="0" applyAlignment="0" applyProtection="0"/>
    <xf numFmtId="0" fontId="12" fillId="0" borderId="0"/>
    <xf numFmtId="0" fontId="13" fillId="0" borderId="0"/>
    <xf numFmtId="0" fontId="14" fillId="0" borderId="0"/>
  </cellStyleXfs>
  <cellXfs count="139">
    <xf numFmtId="0" fontId="0" fillId="0" borderId="0" xfId="0"/>
    <xf numFmtId="0" fontId="6" fillId="0" borderId="0" xfId="0" applyFont="1" applyAlignment="1">
      <alignment vertical="center"/>
    </xf>
    <xf numFmtId="0" fontId="1" fillId="0" borderId="0" xfId="0" applyFont="1" applyAlignment="1">
      <alignment horizontal="left" vertical="center"/>
    </xf>
    <xf numFmtId="0" fontId="6" fillId="0" borderId="0" xfId="0" applyFont="1" applyAlignment="1">
      <alignment horizontal="left" vertical="center"/>
    </xf>
    <xf numFmtId="0" fontId="6" fillId="0" borderId="0" xfId="0" applyFont="1"/>
    <xf numFmtId="0" fontId="1" fillId="0" borderId="0" xfId="0" applyFont="1" applyAlignment="1">
      <alignment horizontal="left" vertical="center" wrapText="1"/>
    </xf>
    <xf numFmtId="0" fontId="3" fillId="2" borderId="1" xfId="0" applyFont="1" applyFill="1" applyBorder="1" applyAlignment="1">
      <alignment vertical="center" wrapText="1"/>
    </xf>
    <xf numFmtId="0" fontId="3" fillId="4" borderId="1" xfId="0" applyFont="1" applyFill="1" applyBorder="1" applyAlignment="1">
      <alignment horizontal="center" vertical="center" wrapText="1"/>
    </xf>
    <xf numFmtId="0" fontId="1" fillId="0" borderId="0" xfId="0" applyFont="1" applyBorder="1" applyAlignment="1">
      <alignment horizontal="left" vertical="center"/>
    </xf>
    <xf numFmtId="0" fontId="5" fillId="4"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5" borderId="1" xfId="0" applyFont="1" applyFill="1" applyBorder="1" applyAlignment="1">
      <alignment horizontal="left" vertical="center"/>
    </xf>
    <xf numFmtId="0" fontId="3" fillId="5" borderId="1" xfId="0" applyFont="1" applyFill="1" applyBorder="1" applyAlignment="1">
      <alignment vertical="center" wrapText="1"/>
    </xf>
    <xf numFmtId="0" fontId="7" fillId="5" borderId="1" xfId="0" applyFont="1" applyFill="1" applyBorder="1" applyAlignment="1">
      <alignment vertical="center" wrapText="1"/>
    </xf>
    <xf numFmtId="0" fontId="5" fillId="5" borderId="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5" fillId="6"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7" fillId="5" borderId="1" xfId="0" applyFont="1" applyFill="1" applyBorder="1" applyAlignment="1">
      <alignment horizontal="left" vertical="center" wrapText="1"/>
    </xf>
    <xf numFmtId="0" fontId="0" fillId="0" borderId="0" xfId="0"/>
    <xf numFmtId="0" fontId="7" fillId="5" borderId="1" xfId="2" applyFont="1" applyFill="1" applyBorder="1" applyAlignment="1">
      <alignment horizontal="left" vertical="center"/>
    </xf>
    <xf numFmtId="0" fontId="0" fillId="0" borderId="0" xfId="0" applyAlignment="1">
      <alignment vertical="center"/>
    </xf>
    <xf numFmtId="0" fontId="0" fillId="3" borderId="0" xfId="0" applyFill="1" applyAlignment="1">
      <alignment vertical="center"/>
    </xf>
    <xf numFmtId="0" fontId="8" fillId="0" borderId="0" xfId="0" applyFont="1" applyAlignment="1">
      <alignment vertical="center"/>
    </xf>
    <xf numFmtId="0" fontId="10" fillId="0" borderId="0" xfId="0" applyFont="1" applyAlignment="1">
      <alignment vertical="center"/>
    </xf>
    <xf numFmtId="0" fontId="3" fillId="3" borderId="1" xfId="0" applyFont="1" applyFill="1" applyBorder="1" applyAlignment="1">
      <alignment horizontal="left" vertical="center" wrapText="1"/>
    </xf>
    <xf numFmtId="0" fontId="3" fillId="5" borderId="1" xfId="0" applyFont="1" applyFill="1" applyBorder="1" applyAlignment="1">
      <alignment vertical="center"/>
    </xf>
    <xf numFmtId="164" fontId="3" fillId="5" borderId="1" xfId="1" applyNumberFormat="1" applyFont="1" applyFill="1" applyBorder="1" applyAlignment="1">
      <alignment vertical="center"/>
    </xf>
    <xf numFmtId="164" fontId="3" fillId="5" borderId="1" xfId="0" applyNumberFormat="1" applyFont="1" applyFill="1" applyBorder="1" applyAlignment="1">
      <alignment vertical="center" wrapText="1"/>
    </xf>
    <xf numFmtId="164" fontId="3" fillId="4" borderId="1" xfId="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3" fillId="6" borderId="1" xfId="0" applyNumberFormat="1" applyFont="1" applyFill="1" applyBorder="1" applyAlignment="1">
      <alignment horizontal="center" vertical="center" wrapText="1"/>
    </xf>
    <xf numFmtId="164" fontId="3" fillId="6" borderId="1" xfId="1" applyNumberFormat="1" applyFont="1" applyFill="1" applyBorder="1" applyAlignment="1">
      <alignment horizontal="center" vertical="center" wrapText="1"/>
    </xf>
    <xf numFmtId="164" fontId="5" fillId="5" borderId="2" xfId="1" applyNumberFormat="1" applyFont="1" applyFill="1" applyBorder="1" applyAlignment="1">
      <alignment horizontal="center" vertical="center" wrapText="1"/>
    </xf>
    <xf numFmtId="3" fontId="5" fillId="3" borderId="1" xfId="0" applyNumberFormat="1" applyFont="1" applyFill="1" applyBorder="1" applyAlignment="1">
      <alignment horizontal="center" vertical="center" wrapText="1"/>
    </xf>
    <xf numFmtId="3" fontId="5" fillId="6"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5" fillId="7" borderId="1" xfId="4" applyFont="1" applyFill="1" applyBorder="1" applyAlignment="1">
      <alignment vertical="top" wrapText="1"/>
    </xf>
    <xf numFmtId="0" fontId="15" fillId="0" borderId="1" xfId="4" applyFont="1" applyFill="1" applyBorder="1" applyAlignment="1">
      <alignment vertical="top" wrapText="1"/>
    </xf>
    <xf numFmtId="0" fontId="16" fillId="0" borderId="1" xfId="4" applyFont="1" applyFill="1" applyBorder="1" applyAlignment="1">
      <alignment vertical="top" wrapText="1"/>
    </xf>
    <xf numFmtId="0" fontId="3" fillId="2"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7" fillId="7" borderId="1" xfId="0" applyFont="1" applyFill="1" applyBorder="1" applyAlignment="1">
      <alignment horizontal="center" vertical="top"/>
    </xf>
    <xf numFmtId="0" fontId="17" fillId="0" borderId="1" xfId="0" applyFont="1" applyFill="1" applyBorder="1" applyAlignment="1">
      <alignment horizontal="center" vertical="top"/>
    </xf>
    <xf numFmtId="0" fontId="18" fillId="0" borderId="1" xfId="0" applyFont="1" applyFill="1" applyBorder="1" applyAlignment="1">
      <alignment horizontal="center" vertical="top"/>
    </xf>
    <xf numFmtId="3" fontId="17" fillId="7" borderId="1" xfId="0" applyNumberFormat="1" applyFont="1" applyFill="1" applyBorder="1" applyAlignment="1">
      <alignment horizontal="center" vertical="top"/>
    </xf>
    <xf numFmtId="3" fontId="17" fillId="0" borderId="1" xfId="0" applyNumberFormat="1" applyFont="1" applyFill="1" applyBorder="1" applyAlignment="1">
      <alignment horizontal="center" vertical="top"/>
    </xf>
    <xf numFmtId="3" fontId="18" fillId="0" borderId="1" xfId="1" applyNumberFormat="1" applyFont="1" applyFill="1" applyBorder="1" applyAlignment="1">
      <alignment horizontal="center" vertical="top"/>
    </xf>
    <xf numFmtId="3" fontId="17" fillId="0" borderId="1" xfId="1" applyNumberFormat="1" applyFont="1" applyFill="1" applyBorder="1" applyAlignment="1">
      <alignment horizontal="center" vertical="top"/>
    </xf>
    <xf numFmtId="3" fontId="17" fillId="8" borderId="1" xfId="1" applyNumberFormat="1" applyFont="1" applyFill="1" applyBorder="1" applyAlignment="1">
      <alignment horizontal="center" vertical="top"/>
    </xf>
    <xf numFmtId="3" fontId="18" fillId="8" borderId="1" xfId="1" applyNumberFormat="1" applyFont="1" applyFill="1" applyBorder="1" applyAlignment="1">
      <alignment horizontal="center" vertical="top"/>
    </xf>
    <xf numFmtId="3" fontId="17" fillId="7" borderId="1" xfId="1" applyNumberFormat="1" applyFont="1" applyFill="1" applyBorder="1" applyAlignment="1">
      <alignment horizontal="center" vertical="top"/>
    </xf>
    <xf numFmtId="3" fontId="18" fillId="7" borderId="1" xfId="1" applyNumberFormat="1" applyFont="1" applyFill="1" applyBorder="1" applyAlignment="1">
      <alignment horizontal="center" vertical="top"/>
    </xf>
    <xf numFmtId="3" fontId="19" fillId="0" borderId="1" xfId="4" applyNumberFormat="1" applyFont="1" applyFill="1" applyBorder="1" applyAlignment="1">
      <alignment horizontal="center" vertical="top"/>
    </xf>
    <xf numFmtId="3" fontId="18" fillId="0" borderId="1" xfId="0" applyNumberFormat="1" applyFont="1" applyFill="1" applyBorder="1" applyAlignment="1">
      <alignment horizontal="center" vertical="top"/>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15" fillId="5" borderId="1" xfId="4" applyFont="1" applyFill="1" applyBorder="1" applyAlignment="1">
      <alignment vertical="center" wrapText="1"/>
    </xf>
    <xf numFmtId="3" fontId="20" fillId="0" borderId="1" xfId="4" applyNumberFormat="1" applyFont="1" applyFill="1" applyBorder="1" applyAlignment="1">
      <alignment horizontal="center" vertical="top"/>
    </xf>
    <xf numFmtId="169" fontId="21" fillId="0" borderId="0" xfId="0" applyNumberFormat="1" applyFont="1" applyFill="1" applyAlignment="1">
      <alignment horizontal="center" vertical="top"/>
    </xf>
    <xf numFmtId="0" fontId="21" fillId="0" borderId="0" xfId="0" applyFont="1" applyFill="1" applyAlignment="1">
      <alignment wrapText="1"/>
    </xf>
    <xf numFmtId="0" fontId="18" fillId="0" borderId="0" xfId="0" applyFont="1" applyFill="1" applyAlignment="1"/>
    <xf numFmtId="0" fontId="18" fillId="0" borderId="0" xfId="0" applyFont="1" applyFill="1" applyAlignment="1">
      <alignment horizontal="center"/>
    </xf>
    <xf numFmtId="0" fontId="22" fillId="0" borderId="0" xfId="0" applyNumberFormat="1" applyFont="1" applyAlignment="1">
      <alignment vertical="top"/>
    </xf>
    <xf numFmtId="0" fontId="18" fillId="0" borderId="0" xfId="0" applyFont="1" applyFill="1" applyAlignment="1">
      <alignment vertical="top"/>
    </xf>
    <xf numFmtId="0" fontId="23" fillId="0" borderId="0" xfId="0" applyFont="1" applyFill="1" applyAlignment="1">
      <alignment vertical="top" wrapText="1"/>
    </xf>
    <xf numFmtId="0" fontId="21" fillId="0" borderId="0" xfId="0" applyFont="1" applyFill="1" applyAlignment="1">
      <alignment vertical="top" wrapText="1"/>
    </xf>
    <xf numFmtId="0" fontId="18" fillId="0" borderId="6" xfId="0" applyFont="1" applyFill="1" applyBorder="1" applyAlignment="1">
      <alignment vertical="top" wrapText="1"/>
    </xf>
    <xf numFmtId="0" fontId="21" fillId="0" borderId="6" xfId="0" applyFont="1" applyFill="1" applyBorder="1" applyAlignment="1">
      <alignment vertical="top" wrapText="1"/>
    </xf>
    <xf numFmtId="49" fontId="19" fillId="0" borderId="7" xfId="0" applyNumberFormat="1" applyFont="1" applyFill="1" applyBorder="1" applyAlignment="1">
      <alignment horizontal="center" vertical="center" wrapText="1"/>
    </xf>
    <xf numFmtId="49" fontId="19" fillId="0" borderId="8" xfId="0" applyNumberFormat="1" applyFont="1" applyFill="1" applyBorder="1" applyAlignment="1">
      <alignment horizontal="center" vertical="center" wrapText="1"/>
    </xf>
    <xf numFmtId="49" fontId="19" fillId="0" borderId="9" xfId="0" applyNumberFormat="1" applyFont="1" applyFill="1" applyBorder="1" applyAlignment="1">
      <alignment horizontal="center" vertical="center" wrapText="1"/>
    </xf>
    <xf numFmtId="0" fontId="18" fillId="0" borderId="1" xfId="0" applyFont="1" applyFill="1" applyBorder="1" applyAlignment="1">
      <alignment horizontal="center" vertical="top" wrapText="1"/>
    </xf>
    <xf numFmtId="0" fontId="21" fillId="0" borderId="1" xfId="0" applyFont="1" applyBorder="1" applyAlignment="1">
      <alignment horizontal="center" vertical="center"/>
    </xf>
    <xf numFmtId="0" fontId="19" fillId="9" borderId="1" xfId="4" applyFont="1" applyFill="1" applyBorder="1" applyAlignment="1">
      <alignment horizontal="center" vertical="top" wrapText="1"/>
    </xf>
    <xf numFmtId="0" fontId="18" fillId="9" borderId="1" xfId="0" applyFont="1" applyFill="1" applyBorder="1" applyAlignment="1">
      <alignment horizontal="center" vertical="top"/>
    </xf>
    <xf numFmtId="0" fontId="19" fillId="10" borderId="1" xfId="0" applyFont="1" applyFill="1" applyBorder="1" applyAlignment="1">
      <alignment horizontal="center" vertical="top" wrapText="1"/>
    </xf>
    <xf numFmtId="0" fontId="18" fillId="10" borderId="1" xfId="0" applyFont="1" applyFill="1" applyBorder="1" applyAlignment="1">
      <alignment vertical="top" wrapText="1"/>
    </xf>
    <xf numFmtId="0" fontId="18" fillId="9" borderId="0" xfId="0" applyFont="1" applyFill="1" applyBorder="1" applyAlignment="1">
      <alignment horizontal="center" vertical="top"/>
    </xf>
    <xf numFmtId="0" fontId="21" fillId="0" borderId="1" xfId="0" applyFont="1" applyFill="1" applyBorder="1" applyAlignment="1">
      <alignment horizontal="center" vertical="top" wrapText="1"/>
    </xf>
    <xf numFmtId="0" fontId="18" fillId="0" borderId="5" xfId="0" applyFont="1" applyFill="1" applyBorder="1" applyAlignment="1">
      <alignment horizontal="center" vertical="top"/>
    </xf>
    <xf numFmtId="0" fontId="18" fillId="0" borderId="1" xfId="0" applyFont="1" applyFill="1" applyBorder="1" applyAlignment="1">
      <alignment horizontal="center" vertical="top" wrapText="1"/>
    </xf>
    <xf numFmtId="0" fontId="18" fillId="0" borderId="0" xfId="0" applyFont="1" applyFill="1" applyBorder="1" applyAlignment="1">
      <alignment horizontal="center" vertical="top"/>
    </xf>
    <xf numFmtId="0" fontId="18" fillId="11" borderId="0" xfId="0" applyFont="1" applyFill="1" applyAlignment="1"/>
    <xf numFmtId="3" fontId="17" fillId="0" borderId="0" xfId="0" applyNumberFormat="1" applyFont="1" applyFill="1" applyBorder="1" applyAlignment="1">
      <alignment horizontal="center" vertical="top"/>
    </xf>
    <xf numFmtId="3" fontId="17" fillId="11" borderId="0" xfId="0" applyNumberFormat="1" applyFont="1" applyFill="1" applyAlignment="1"/>
    <xf numFmtId="0" fontId="17" fillId="11" borderId="0" xfId="0" applyFont="1" applyFill="1" applyAlignment="1"/>
    <xf numFmtId="0" fontId="17" fillId="0" borderId="0" xfId="0" applyFont="1" applyFill="1" applyAlignment="1"/>
    <xf numFmtId="3" fontId="18" fillId="0" borderId="1" xfId="1" applyNumberFormat="1" applyFont="1" applyFill="1" applyBorder="1" applyAlignment="1">
      <alignment vertical="top"/>
    </xf>
    <xf numFmtId="3" fontId="18" fillId="0" borderId="0" xfId="0" applyNumberFormat="1" applyFont="1" applyFill="1" applyAlignment="1"/>
    <xf numFmtId="3" fontId="17" fillId="0" borderId="1" xfId="1" applyNumberFormat="1" applyFont="1" applyFill="1" applyBorder="1" applyAlignment="1">
      <alignment vertical="top"/>
    </xf>
    <xf numFmtId="3" fontId="20" fillId="7" borderId="1" xfId="4" applyNumberFormat="1" applyFont="1" applyFill="1" applyBorder="1" applyAlignment="1">
      <alignment horizontal="center" vertical="top"/>
    </xf>
    <xf numFmtId="3" fontId="17" fillId="7" borderId="1" xfId="1" applyNumberFormat="1" applyFont="1" applyFill="1" applyBorder="1" applyAlignment="1">
      <alignment vertical="top"/>
    </xf>
    <xf numFmtId="0" fontId="18" fillId="11" borderId="0" xfId="0" applyFont="1" applyFill="1" applyAlignment="1">
      <alignment vertical="top"/>
    </xf>
    <xf numFmtId="0" fontId="17" fillId="11" borderId="0" xfId="0" applyFont="1" applyFill="1" applyAlignment="1">
      <alignment vertical="top"/>
    </xf>
    <xf numFmtId="3" fontId="18" fillId="7" borderId="1" xfId="0" applyNumberFormat="1" applyFont="1" applyFill="1" applyBorder="1" applyAlignment="1">
      <alignment horizontal="center" vertical="top"/>
    </xf>
    <xf numFmtId="3" fontId="19" fillId="7" borderId="1" xfId="4" applyNumberFormat="1" applyFont="1" applyFill="1" applyBorder="1" applyAlignment="1">
      <alignment horizontal="center" vertical="top"/>
    </xf>
    <xf numFmtId="3" fontId="18" fillId="7" borderId="1" xfId="1" applyNumberFormat="1" applyFont="1" applyFill="1" applyBorder="1" applyAlignment="1">
      <alignment vertical="top"/>
    </xf>
    <xf numFmtId="0" fontId="17" fillId="0" borderId="1" xfId="0" applyFont="1" applyFill="1" applyBorder="1" applyAlignment="1">
      <alignment vertical="top"/>
    </xf>
    <xf numFmtId="0" fontId="15" fillId="0" borderId="1" xfId="0" applyFont="1" applyFill="1" applyBorder="1" applyAlignment="1">
      <alignment vertical="top" wrapText="1"/>
    </xf>
    <xf numFmtId="171" fontId="17" fillId="0" borderId="1" xfId="0" applyNumberFormat="1" applyFont="1" applyFill="1" applyBorder="1" applyAlignment="1">
      <alignment horizontal="center" vertical="top"/>
    </xf>
    <xf numFmtId="171" fontId="18" fillId="0" borderId="0" xfId="0" applyNumberFormat="1" applyFont="1" applyFill="1" applyAlignment="1"/>
    <xf numFmtId="4" fontId="18" fillId="0" borderId="0" xfId="0" applyNumberFormat="1" applyFont="1" applyFill="1" applyAlignment="1"/>
    <xf numFmtId="170" fontId="18" fillId="0" borderId="0" xfId="1" applyNumberFormat="1" applyFont="1" applyFill="1" applyAlignment="1"/>
    <xf numFmtId="43" fontId="18" fillId="0" borderId="0" xfId="0" applyNumberFormat="1" applyFont="1" applyFill="1" applyAlignment="1"/>
    <xf numFmtId="170" fontId="18" fillId="0" borderId="0" xfId="0" applyNumberFormat="1" applyFont="1" applyFill="1" applyAlignment="1"/>
    <xf numFmtId="1" fontId="18" fillId="0" borderId="0" xfId="0" applyNumberFormat="1" applyFont="1" applyFill="1" applyAlignment="1">
      <alignment horizontal="center"/>
    </xf>
    <xf numFmtId="164" fontId="18" fillId="0" borderId="0" xfId="0" applyNumberFormat="1" applyFont="1" applyFill="1" applyAlignment="1"/>
    <xf numFmtId="0" fontId="18" fillId="0" borderId="0" xfId="0" applyFont="1" applyBorder="1" applyAlignment="1">
      <alignment horizontal="right" vertical="top"/>
    </xf>
    <xf numFmtId="0" fontId="18" fillId="0" borderId="0" xfId="0" applyFont="1" applyFill="1" applyAlignment="1">
      <alignment horizontal="right"/>
    </xf>
    <xf numFmtId="3" fontId="18" fillId="5" borderId="1" xfId="0" applyNumberFormat="1" applyFont="1" applyFill="1" applyBorder="1" applyAlignment="1">
      <alignment horizontal="left" vertical="center"/>
    </xf>
    <xf numFmtId="0" fontId="3" fillId="5" borderId="1" xfId="0" applyFont="1" applyFill="1" applyBorder="1" applyAlignment="1">
      <alignment horizontal="left" vertical="center"/>
    </xf>
    <xf numFmtId="164" fontId="3" fillId="5" borderId="1" xfId="1" applyNumberFormat="1" applyFont="1" applyFill="1" applyBorder="1" applyAlignment="1">
      <alignment vertical="center" wrapText="1"/>
    </xf>
  </cellXfs>
  <cellStyles count="5">
    <cellStyle name="Comma" xfId="1" builtinId="3"/>
    <cellStyle name="Normal" xfId="0" builtinId="0"/>
    <cellStyle name="Normal 2" xfId="3"/>
    <cellStyle name="Normal 84" xfId="2"/>
    <cellStyle name="Normal_Sheet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61"/>
  <sheetViews>
    <sheetView topLeftCell="D1" workbookViewId="0">
      <selection activeCell="U54" sqref="U54"/>
    </sheetView>
  </sheetViews>
  <sheetFormatPr defaultColWidth="9.109375" defaultRowHeight="15" outlineLevelCol="1" x14ac:dyDescent="0.35"/>
  <cols>
    <col min="1" max="1" width="1.44140625" style="87" customWidth="1"/>
    <col min="2" max="2" width="5.6640625" style="87" customWidth="1"/>
    <col min="3" max="3" width="82.88671875" style="86" customWidth="1"/>
    <col min="4" max="4" width="13.6640625" style="87" customWidth="1"/>
    <col min="5" max="5" width="10.33203125" style="87" customWidth="1"/>
    <col min="6" max="6" width="14.33203125" style="87" customWidth="1"/>
    <col min="7" max="7" width="13.6640625" style="87" customWidth="1"/>
    <col min="8" max="8" width="10.33203125" style="87" customWidth="1"/>
    <col min="9" max="9" width="16.6640625" style="87" customWidth="1"/>
    <col min="10" max="10" width="13.6640625" style="88" bestFit="1" customWidth="1"/>
    <col min="11" max="11" width="9" style="87" bestFit="1" customWidth="1"/>
    <col min="12" max="12" width="14.6640625" style="87" bestFit="1" customWidth="1"/>
    <col min="13" max="13" width="12.5546875" style="87" hidden="1" customWidth="1" outlineLevel="1"/>
    <col min="14" max="14" width="15.5546875" style="87" hidden="1" customWidth="1" outlineLevel="1"/>
    <col min="15" max="15" width="13.6640625" style="87" hidden="1" customWidth="1" outlineLevel="1"/>
    <col min="16" max="16" width="12.109375" style="87" customWidth="1" collapsed="1"/>
    <col min="17" max="17" width="10" style="87" customWidth="1"/>
    <col min="18" max="18" width="14" style="87" customWidth="1"/>
    <col min="19" max="19" width="12.109375" style="87" customWidth="1" collapsed="1"/>
    <col min="20" max="20" width="10" style="87" customWidth="1"/>
    <col min="21" max="21" width="14" style="87" customWidth="1"/>
    <col min="22" max="22" width="10.109375" style="87" customWidth="1"/>
    <col min="23" max="194" width="9.109375" style="87" customWidth="1"/>
    <col min="195" max="195" width="5.6640625" style="87" customWidth="1"/>
    <col min="196" max="196" width="56.88671875" style="87" customWidth="1"/>
    <col min="197" max="197" width="15.109375" style="87" customWidth="1"/>
    <col min="198" max="198" width="8.5546875" style="87" customWidth="1"/>
    <col min="199" max="199" width="15.33203125" style="87" bestFit="1" customWidth="1"/>
    <col min="200" max="211" width="15.33203125" style="87" customWidth="1"/>
    <col min="212" max="16384" width="9.109375" style="87"/>
  </cols>
  <sheetData>
    <row r="1" spans="2:28" x14ac:dyDescent="0.35">
      <c r="B1" s="85"/>
    </row>
    <row r="2" spans="2:28" ht="18" x14ac:dyDescent="0.35">
      <c r="B2" s="89" t="s">
        <v>149</v>
      </c>
    </row>
    <row r="3" spans="2:28" x14ac:dyDescent="0.35">
      <c r="B3" s="90"/>
      <c r="C3" s="91"/>
    </row>
    <row r="4" spans="2:28" x14ac:dyDescent="0.35">
      <c r="B4" s="90"/>
      <c r="C4" s="92"/>
    </row>
    <row r="5" spans="2:28" ht="15" customHeight="1" x14ac:dyDescent="0.35">
      <c r="B5" s="93"/>
      <c r="C5" s="94"/>
      <c r="D5" s="95" t="s">
        <v>150</v>
      </c>
      <c r="E5" s="96"/>
      <c r="F5" s="97"/>
      <c r="G5" s="95" t="s">
        <v>151</v>
      </c>
      <c r="H5" s="96"/>
      <c r="I5" s="97"/>
      <c r="J5" s="98" t="s">
        <v>152</v>
      </c>
      <c r="K5" s="98"/>
      <c r="L5" s="98"/>
      <c r="M5" s="95" t="s">
        <v>153</v>
      </c>
      <c r="N5" s="96"/>
      <c r="O5" s="97"/>
      <c r="P5" s="98" t="s">
        <v>154</v>
      </c>
      <c r="Q5" s="98"/>
      <c r="R5" s="98"/>
      <c r="S5" s="98" t="s">
        <v>155</v>
      </c>
      <c r="T5" s="98"/>
      <c r="U5" s="98"/>
    </row>
    <row r="6" spans="2:28" ht="75" x14ac:dyDescent="0.35">
      <c r="B6" s="60"/>
      <c r="C6" s="99" t="s">
        <v>156</v>
      </c>
      <c r="D6" s="100" t="s">
        <v>157</v>
      </c>
      <c r="E6" s="100" t="s">
        <v>158</v>
      </c>
      <c r="F6" s="101" t="s">
        <v>159</v>
      </c>
      <c r="G6" s="100" t="s">
        <v>157</v>
      </c>
      <c r="H6" s="100" t="s">
        <v>158</v>
      </c>
      <c r="I6" s="101" t="s">
        <v>159</v>
      </c>
      <c r="J6" s="102" t="s">
        <v>160</v>
      </c>
      <c r="K6" s="103" t="s">
        <v>161</v>
      </c>
      <c r="L6" s="103" t="s">
        <v>162</v>
      </c>
      <c r="M6" s="100" t="s">
        <v>157</v>
      </c>
      <c r="N6" s="100" t="s">
        <v>158</v>
      </c>
      <c r="O6" s="101" t="s">
        <v>159</v>
      </c>
      <c r="P6" s="100" t="s">
        <v>157</v>
      </c>
      <c r="Q6" s="100" t="s">
        <v>158</v>
      </c>
      <c r="R6" s="101" t="s">
        <v>159</v>
      </c>
      <c r="S6" s="100" t="s">
        <v>157</v>
      </c>
      <c r="T6" s="100" t="s">
        <v>158</v>
      </c>
      <c r="U6" s="101" t="s">
        <v>159</v>
      </c>
      <c r="V6" s="104"/>
    </row>
    <row r="7" spans="2:28" x14ac:dyDescent="0.35">
      <c r="B7" s="61"/>
      <c r="C7" s="105"/>
      <c r="D7" s="106">
        <v>7</v>
      </c>
      <c r="E7" s="107">
        <v>8</v>
      </c>
      <c r="F7" s="106">
        <v>9</v>
      </c>
      <c r="G7" s="107">
        <v>10</v>
      </c>
      <c r="H7" s="106">
        <v>11</v>
      </c>
      <c r="I7" s="107">
        <v>12</v>
      </c>
      <c r="J7" s="106">
        <v>31</v>
      </c>
      <c r="K7" s="107">
        <v>32</v>
      </c>
      <c r="L7" s="106">
        <v>33</v>
      </c>
      <c r="M7" s="107">
        <v>28</v>
      </c>
      <c r="N7" s="106">
        <v>29</v>
      </c>
      <c r="O7" s="107">
        <v>30</v>
      </c>
      <c r="P7" s="106">
        <v>19</v>
      </c>
      <c r="Q7" s="107">
        <v>20</v>
      </c>
      <c r="R7" s="106">
        <v>21</v>
      </c>
      <c r="S7" s="106">
        <v>19</v>
      </c>
      <c r="T7" s="107">
        <v>20</v>
      </c>
      <c r="U7" s="106">
        <v>21</v>
      </c>
      <c r="V7" s="108"/>
      <c r="W7" s="109" t="s">
        <v>163</v>
      </c>
      <c r="X7" s="109"/>
      <c r="Y7" s="109"/>
      <c r="Z7" s="109"/>
      <c r="AA7" s="109"/>
    </row>
    <row r="8" spans="2:28" s="113" customFormat="1" x14ac:dyDescent="0.35">
      <c r="B8" s="59" t="s">
        <v>122</v>
      </c>
      <c r="C8" s="54" t="s">
        <v>85</v>
      </c>
      <c r="D8" s="62">
        <f>+D9+D13+D16+D20+D24+D25+D26+D27+D28+D31+D32</f>
        <v>17107</v>
      </c>
      <c r="E8" s="62" t="s">
        <v>40</v>
      </c>
      <c r="F8" s="62">
        <f>+F9+F13+F16+F20+F24+F25+F26+F27+F28</f>
        <v>4628220</v>
      </c>
      <c r="G8" s="62">
        <f>+G9+G13+G16+G20+G24+G25+G26+G27+G28+G31+G32</f>
        <v>17358</v>
      </c>
      <c r="H8" s="62" t="s">
        <v>40</v>
      </c>
      <c r="I8" s="62">
        <f>+I9+I13+I16+I20+I24+I25+I26+I27+I28+I31+I32</f>
        <v>4905660</v>
      </c>
      <c r="J8" s="62">
        <f>+J9+J13+J16+J20+J24+J25+J26+J27+J28+J31+J32</f>
        <v>18339</v>
      </c>
      <c r="K8" s="62" t="s">
        <v>40</v>
      </c>
      <c r="L8" s="62">
        <f>+L9+L13+L16+L20+L24+L25+L26+L27+L28+L31+L32</f>
        <v>5031216</v>
      </c>
      <c r="M8" s="62">
        <f>+M9+M13+M16+M20+M24+M25+M26+M27+M28+M31+M32</f>
        <v>17645</v>
      </c>
      <c r="N8" s="62" t="s">
        <v>40</v>
      </c>
      <c r="O8" s="62">
        <f>+O9+O13+O16+O20+O24+O25+O26+O27+O28+O31+O32</f>
        <v>4985760</v>
      </c>
      <c r="P8" s="62">
        <f>+P9+P13+P16+P20+P24+P25+P26+P27+P28+P31+P32</f>
        <v>17645</v>
      </c>
      <c r="Q8" s="62" t="s">
        <v>40</v>
      </c>
      <c r="R8" s="62">
        <f>+R9+R13+R16+R20+R24+R25+R26+R27+R28+R31+R32</f>
        <v>4985760</v>
      </c>
      <c r="S8" s="62">
        <f>+S9+S13+S16+S20+S24+S25+S26+S27+S28+S31+S32</f>
        <v>18307</v>
      </c>
      <c r="T8" s="62" t="s">
        <v>40</v>
      </c>
      <c r="U8" s="62">
        <f>+U9+U13+U16+U20+U24+U25+U26+U27+U28+U31+U32</f>
        <v>4997892</v>
      </c>
      <c r="V8" s="110"/>
      <c r="W8" s="111"/>
      <c r="X8" s="112"/>
      <c r="Y8" s="112" t="s">
        <v>122</v>
      </c>
      <c r="Z8" s="112" t="s">
        <v>85</v>
      </c>
      <c r="AA8" s="112">
        <v>18094</v>
      </c>
    </row>
    <row r="9" spans="2:28" s="113" customFormat="1" ht="34.200000000000003" x14ac:dyDescent="0.35">
      <c r="B9" s="60" t="s">
        <v>123</v>
      </c>
      <c r="C9" s="55" t="s">
        <v>86</v>
      </c>
      <c r="D9" s="63">
        <f>SUM(D10:D12)</f>
        <v>1060</v>
      </c>
      <c r="E9" s="63" t="s">
        <v>40</v>
      </c>
      <c r="F9" s="63">
        <f>F10+F11+F12</f>
        <v>336288</v>
      </c>
      <c r="G9" s="63">
        <f>SUM(G10:G12)</f>
        <v>989</v>
      </c>
      <c r="H9" s="63" t="s">
        <v>40</v>
      </c>
      <c r="I9" s="63">
        <f>I10+I11+I12</f>
        <v>314544</v>
      </c>
      <c r="J9" s="63">
        <f>SUM(J10:J12)</f>
        <v>990</v>
      </c>
      <c r="K9" s="63" t="s">
        <v>40</v>
      </c>
      <c r="L9" s="63">
        <f>L10+L11+L12</f>
        <v>312864</v>
      </c>
      <c r="M9" s="63">
        <f>SUM(M10:M12)</f>
        <v>955</v>
      </c>
      <c r="N9" s="63" t="s">
        <v>40</v>
      </c>
      <c r="O9" s="63">
        <f>O10+O11+O12</f>
        <v>303360</v>
      </c>
      <c r="P9" s="63">
        <f>SUM(P10:P12)</f>
        <v>955</v>
      </c>
      <c r="Q9" s="63" t="s">
        <v>40</v>
      </c>
      <c r="R9" s="63">
        <f>R10+R11+R12</f>
        <v>303360</v>
      </c>
      <c r="S9" s="63">
        <f>SUM(S10:S12)</f>
        <v>945</v>
      </c>
      <c r="T9" s="63" t="s">
        <v>40</v>
      </c>
      <c r="U9" s="63">
        <f>U10+U11+U12</f>
        <v>297780</v>
      </c>
      <c r="V9" s="110"/>
      <c r="W9" s="111"/>
      <c r="X9" s="112" t="s">
        <v>40</v>
      </c>
      <c r="Y9" s="112" t="s">
        <v>123</v>
      </c>
      <c r="Z9" s="112" t="s">
        <v>164</v>
      </c>
      <c r="AA9" s="112">
        <v>990</v>
      </c>
    </row>
    <row r="10" spans="2:28" x14ac:dyDescent="0.35">
      <c r="B10" s="60"/>
      <c r="C10" s="56" t="s">
        <v>87</v>
      </c>
      <c r="D10" s="70">
        <v>41</v>
      </c>
      <c r="E10" s="71">
        <v>32000</v>
      </c>
      <c r="F10" s="114">
        <f>E10*D10*12/1000</f>
        <v>15744</v>
      </c>
      <c r="G10" s="70">
        <v>45</v>
      </c>
      <c r="H10" s="71">
        <v>32000</v>
      </c>
      <c r="I10" s="114">
        <f>H10*G10*12/1000</f>
        <v>17280</v>
      </c>
      <c r="J10" s="64">
        <v>28</v>
      </c>
      <c r="K10" s="71">
        <v>32000</v>
      </c>
      <c r="L10" s="114">
        <f>K10*J10*12/1000</f>
        <v>10752</v>
      </c>
      <c r="M10" s="70">
        <v>35</v>
      </c>
      <c r="N10" s="71">
        <v>32000</v>
      </c>
      <c r="O10" s="114">
        <f>N10*M10*12/1000</f>
        <v>13440</v>
      </c>
      <c r="P10" s="70">
        <v>35</v>
      </c>
      <c r="Q10" s="71">
        <v>32000</v>
      </c>
      <c r="R10" s="114">
        <f>Q10*P10*12/1000</f>
        <v>13440</v>
      </c>
      <c r="S10" s="70">
        <v>20</v>
      </c>
      <c r="T10" s="71">
        <v>32000</v>
      </c>
      <c r="U10" s="114">
        <f>T10*S10*12/1000</f>
        <v>7680</v>
      </c>
      <c r="V10" s="110"/>
      <c r="W10" s="111"/>
      <c r="X10" s="109">
        <v>32000</v>
      </c>
      <c r="Y10" s="109"/>
      <c r="Z10" s="109" t="s">
        <v>165</v>
      </c>
      <c r="AA10" s="109">
        <v>28</v>
      </c>
      <c r="AB10" s="115"/>
    </row>
    <row r="11" spans="2:28" x14ac:dyDescent="0.35">
      <c r="B11" s="60"/>
      <c r="C11" s="56" t="s">
        <v>88</v>
      </c>
      <c r="D11" s="70">
        <v>655</v>
      </c>
      <c r="E11" s="71">
        <v>28000</v>
      </c>
      <c r="F11" s="114">
        <f t="shared" ref="F11:F23" si="0">E11*D11*12/1000</f>
        <v>220080</v>
      </c>
      <c r="G11" s="70">
        <v>612</v>
      </c>
      <c r="H11" s="71">
        <v>28000</v>
      </c>
      <c r="I11" s="114">
        <f>H11*G11*12/1000</f>
        <v>205632</v>
      </c>
      <c r="J11" s="64">
        <v>610</v>
      </c>
      <c r="K11" s="71">
        <v>28000</v>
      </c>
      <c r="L11" s="114">
        <f>K11*J11*12/1000</f>
        <v>204960</v>
      </c>
      <c r="M11" s="70">
        <v>600</v>
      </c>
      <c r="N11" s="71">
        <v>28000</v>
      </c>
      <c r="O11" s="114">
        <f>N11*M11*12/1000</f>
        <v>201600</v>
      </c>
      <c r="P11" s="70">
        <v>600</v>
      </c>
      <c r="Q11" s="71">
        <v>28000</v>
      </c>
      <c r="R11" s="114">
        <f>Q11*P11*12/1000</f>
        <v>201600</v>
      </c>
      <c r="S11" s="70">
        <v>580</v>
      </c>
      <c r="T11" s="71">
        <v>28000</v>
      </c>
      <c r="U11" s="114">
        <f>T11*S11*12/1000</f>
        <v>194880</v>
      </c>
      <c r="V11" s="110"/>
      <c r="W11" s="111"/>
      <c r="X11" s="109">
        <v>28000</v>
      </c>
      <c r="Y11" s="109"/>
      <c r="Z11" s="109" t="s">
        <v>166</v>
      </c>
      <c r="AA11" s="109">
        <v>610</v>
      </c>
      <c r="AB11" s="115"/>
    </row>
    <row r="12" spans="2:28" x14ac:dyDescent="0.35">
      <c r="B12" s="60"/>
      <c r="C12" s="56" t="s">
        <v>89</v>
      </c>
      <c r="D12" s="70">
        <v>364</v>
      </c>
      <c r="E12" s="71">
        <v>23000</v>
      </c>
      <c r="F12" s="114">
        <f t="shared" si="0"/>
        <v>100464</v>
      </c>
      <c r="G12" s="70">
        <v>332</v>
      </c>
      <c r="H12" s="71">
        <v>23000</v>
      </c>
      <c r="I12" s="114">
        <f>H12*G12*12/1000</f>
        <v>91632</v>
      </c>
      <c r="J12" s="64">
        <v>352</v>
      </c>
      <c r="K12" s="71">
        <v>23000</v>
      </c>
      <c r="L12" s="114">
        <f>K12*J12*12/1000</f>
        <v>97152</v>
      </c>
      <c r="M12" s="70">
        <v>320</v>
      </c>
      <c r="N12" s="71">
        <v>23000</v>
      </c>
      <c r="O12" s="114">
        <f>N12*M12*12/1000</f>
        <v>88320</v>
      </c>
      <c r="P12" s="70">
        <v>320</v>
      </c>
      <c r="Q12" s="71">
        <v>23000</v>
      </c>
      <c r="R12" s="114">
        <f>Q12*P12*12/1000</f>
        <v>88320</v>
      </c>
      <c r="S12" s="70">
        <v>345</v>
      </c>
      <c r="T12" s="71">
        <v>23000</v>
      </c>
      <c r="U12" s="114">
        <f>T12*S12*12/1000</f>
        <v>95220</v>
      </c>
      <c r="V12" s="110"/>
      <c r="W12" s="111"/>
      <c r="X12" s="109">
        <v>23000</v>
      </c>
      <c r="Y12" s="109"/>
      <c r="Z12" s="109" t="s">
        <v>167</v>
      </c>
      <c r="AA12" s="109">
        <v>352</v>
      </c>
      <c r="AB12" s="115"/>
    </row>
    <row r="13" spans="2:28" s="113" customFormat="1" ht="22.8" x14ac:dyDescent="0.35">
      <c r="B13" s="60" t="s">
        <v>124</v>
      </c>
      <c r="C13" s="55" t="s">
        <v>90</v>
      </c>
      <c r="D13" s="63">
        <f>D14+D15</f>
        <v>501</v>
      </c>
      <c r="E13" s="84" t="s">
        <v>40</v>
      </c>
      <c r="F13" s="63">
        <f>F14+F15</f>
        <v>19764</v>
      </c>
      <c r="G13" s="63">
        <f>G14+G15</f>
        <v>452</v>
      </c>
      <c r="H13" s="84" t="s">
        <v>40</v>
      </c>
      <c r="I13" s="63">
        <f>I14+I15</f>
        <v>17808</v>
      </c>
      <c r="J13" s="63">
        <f>J14+J15</f>
        <v>471</v>
      </c>
      <c r="K13" s="84" t="s">
        <v>40</v>
      </c>
      <c r="L13" s="63">
        <f>L14+L15</f>
        <v>18492</v>
      </c>
      <c r="M13" s="63">
        <f>M14+M15</f>
        <v>425</v>
      </c>
      <c r="N13" s="84" t="s">
        <v>40</v>
      </c>
      <c r="O13" s="63">
        <f>O14+O15</f>
        <v>16620</v>
      </c>
      <c r="P13" s="63">
        <f>P14+P15</f>
        <v>425</v>
      </c>
      <c r="Q13" s="84" t="s">
        <v>40</v>
      </c>
      <c r="R13" s="63">
        <f>R14+R15</f>
        <v>16620</v>
      </c>
      <c r="S13" s="63">
        <f>S14+S15</f>
        <v>440</v>
      </c>
      <c r="T13" s="84" t="s">
        <v>40</v>
      </c>
      <c r="U13" s="63">
        <f>U14+U15</f>
        <v>17280</v>
      </c>
      <c r="V13" s="110"/>
      <c r="W13" s="111"/>
      <c r="X13" s="112" t="s">
        <v>40</v>
      </c>
      <c r="Y13" s="112" t="s">
        <v>124</v>
      </c>
      <c r="Z13" s="112" t="s">
        <v>168</v>
      </c>
      <c r="AA13" s="112">
        <v>471</v>
      </c>
    </row>
    <row r="14" spans="2:28" x14ac:dyDescent="0.35">
      <c r="B14" s="60"/>
      <c r="C14" s="56" t="s">
        <v>87</v>
      </c>
      <c r="D14" s="71">
        <v>72</v>
      </c>
      <c r="E14" s="70">
        <v>5000</v>
      </c>
      <c r="F14" s="114">
        <f t="shared" si="0"/>
        <v>4320</v>
      </c>
      <c r="G14" s="71">
        <v>64</v>
      </c>
      <c r="H14" s="70">
        <v>5000</v>
      </c>
      <c r="I14" s="114">
        <f>H14*G14*12/1000</f>
        <v>3840</v>
      </c>
      <c r="J14" s="64">
        <v>64</v>
      </c>
      <c r="K14" s="70">
        <v>5000</v>
      </c>
      <c r="L14" s="114">
        <f>K14*J14*12/1000</f>
        <v>3840</v>
      </c>
      <c r="M14" s="71">
        <v>55</v>
      </c>
      <c r="N14" s="70">
        <v>5000</v>
      </c>
      <c r="O14" s="114">
        <f>N14*M14*12/1000</f>
        <v>3300</v>
      </c>
      <c r="P14" s="71">
        <v>55</v>
      </c>
      <c r="Q14" s="70">
        <v>5000</v>
      </c>
      <c r="R14" s="114">
        <f>Q14*P14*12/1000</f>
        <v>3300</v>
      </c>
      <c r="S14" s="71">
        <v>60</v>
      </c>
      <c r="T14" s="70">
        <v>5000</v>
      </c>
      <c r="U14" s="114">
        <f>T14*S14*12/1000</f>
        <v>3600</v>
      </c>
      <c r="V14" s="110"/>
      <c r="W14" s="111"/>
      <c r="X14" s="109">
        <v>5000</v>
      </c>
      <c r="Y14" s="109"/>
      <c r="Z14" s="109" t="s">
        <v>165</v>
      </c>
      <c r="AA14" s="109">
        <v>64</v>
      </c>
      <c r="AB14" s="115"/>
    </row>
    <row r="15" spans="2:28" x14ac:dyDescent="0.35">
      <c r="B15" s="60"/>
      <c r="C15" s="56" t="s">
        <v>88</v>
      </c>
      <c r="D15" s="71">
        <v>429</v>
      </c>
      <c r="E15" s="70">
        <v>3000</v>
      </c>
      <c r="F15" s="114">
        <f t="shared" si="0"/>
        <v>15444</v>
      </c>
      <c r="G15" s="71">
        <v>388</v>
      </c>
      <c r="H15" s="70">
        <v>3000</v>
      </c>
      <c r="I15" s="114">
        <f>H15*G15*12/1000</f>
        <v>13968</v>
      </c>
      <c r="J15" s="64">
        <v>407</v>
      </c>
      <c r="K15" s="70">
        <v>3000</v>
      </c>
      <c r="L15" s="114">
        <f>K15*J15*12/1000</f>
        <v>14652</v>
      </c>
      <c r="M15" s="71">
        <v>370</v>
      </c>
      <c r="N15" s="70">
        <v>3000</v>
      </c>
      <c r="O15" s="114">
        <f>N15*M15*12/1000</f>
        <v>13320</v>
      </c>
      <c r="P15" s="71">
        <v>370</v>
      </c>
      <c r="Q15" s="70">
        <v>3000</v>
      </c>
      <c r="R15" s="114">
        <f>Q15*P15*12/1000</f>
        <v>13320</v>
      </c>
      <c r="S15" s="71">
        <v>380</v>
      </c>
      <c r="T15" s="70">
        <v>3000</v>
      </c>
      <c r="U15" s="114">
        <f>T15*S15*12/1000</f>
        <v>13680</v>
      </c>
      <c r="V15" s="110"/>
      <c r="W15" s="111"/>
      <c r="X15" s="109">
        <v>3000</v>
      </c>
      <c r="Y15" s="109"/>
      <c r="Z15" s="109" t="s">
        <v>166</v>
      </c>
      <c r="AA15" s="109">
        <v>407</v>
      </c>
      <c r="AB15" s="115"/>
    </row>
    <row r="16" spans="2:28" s="113" customFormat="1" ht="57" x14ac:dyDescent="0.35">
      <c r="B16" s="60" t="s">
        <v>125</v>
      </c>
      <c r="C16" s="55" t="s">
        <v>91</v>
      </c>
      <c r="D16" s="63">
        <f>D17+D18+D19</f>
        <v>6012</v>
      </c>
      <c r="E16" s="84" t="s">
        <v>40</v>
      </c>
      <c r="F16" s="63">
        <f>F17+F18+F19</f>
        <v>3156060</v>
      </c>
      <c r="G16" s="63">
        <f>G17+G18+G19</f>
        <v>6583</v>
      </c>
      <c r="H16" s="84" t="s">
        <v>40</v>
      </c>
      <c r="I16" s="63">
        <f>I17+I18+I19</f>
        <v>3422460</v>
      </c>
      <c r="J16" s="63">
        <f>J17+J18+J19</f>
        <v>6690</v>
      </c>
      <c r="K16" s="84" t="s">
        <v>40</v>
      </c>
      <c r="L16" s="63">
        <f>L17+L18+L19</f>
        <v>3444156</v>
      </c>
      <c r="M16" s="63">
        <f>M17+M18+M19</f>
        <v>6695</v>
      </c>
      <c r="N16" s="84" t="s">
        <v>40</v>
      </c>
      <c r="O16" s="63">
        <f>O17+O18+O19</f>
        <v>3473160</v>
      </c>
      <c r="P16" s="63">
        <f>P17+P18+P19</f>
        <v>6695</v>
      </c>
      <c r="Q16" s="84" t="s">
        <v>40</v>
      </c>
      <c r="R16" s="63">
        <f>R17+R18+R19</f>
        <v>3473160</v>
      </c>
      <c r="S16" s="63">
        <f>S17+S18+S19</f>
        <v>6647</v>
      </c>
      <c r="T16" s="84" t="s">
        <v>40</v>
      </c>
      <c r="U16" s="63">
        <f>U17+U18+U19</f>
        <v>3415776</v>
      </c>
      <c r="V16" s="110"/>
      <c r="W16" s="111"/>
      <c r="X16" s="112" t="s">
        <v>40</v>
      </c>
      <c r="Y16" s="112" t="s">
        <v>125</v>
      </c>
      <c r="Z16" s="112" t="s">
        <v>169</v>
      </c>
      <c r="AA16" s="112">
        <v>6690</v>
      </c>
    </row>
    <row r="17" spans="2:28" x14ac:dyDescent="0.35">
      <c r="B17" s="60"/>
      <c r="C17" s="56" t="s">
        <v>87</v>
      </c>
      <c r="D17" s="71">
        <v>367</v>
      </c>
      <c r="E17" s="70">
        <v>55000</v>
      </c>
      <c r="F17" s="114">
        <f t="shared" si="0"/>
        <v>242220</v>
      </c>
      <c r="G17" s="71">
        <v>403</v>
      </c>
      <c r="H17" s="70">
        <v>55000</v>
      </c>
      <c r="I17" s="114">
        <f>H17*G17*12/1000</f>
        <v>265980</v>
      </c>
      <c r="J17" s="64">
        <v>363</v>
      </c>
      <c r="K17" s="70">
        <v>55000</v>
      </c>
      <c r="L17" s="114">
        <f>K17*J17*12/1000</f>
        <v>239580</v>
      </c>
      <c r="M17" s="71">
        <v>410</v>
      </c>
      <c r="N17" s="70">
        <v>55000</v>
      </c>
      <c r="O17" s="114">
        <f>N17*M17*12/1000</f>
        <v>270600</v>
      </c>
      <c r="P17" s="71">
        <v>410</v>
      </c>
      <c r="Q17" s="70">
        <v>55000</v>
      </c>
      <c r="R17" s="114">
        <f>Q17*P17*12/1000</f>
        <v>270600</v>
      </c>
      <c r="S17" s="71">
        <v>320</v>
      </c>
      <c r="T17" s="70">
        <v>55000</v>
      </c>
      <c r="U17" s="114">
        <f>T17*S17*12/1000</f>
        <v>211200</v>
      </c>
      <c r="V17" s="110"/>
      <c r="W17" s="111"/>
      <c r="X17" s="109">
        <v>55000</v>
      </c>
      <c r="Y17" s="109"/>
      <c r="Z17" s="109" t="s">
        <v>165</v>
      </c>
      <c r="AA17" s="109">
        <v>363</v>
      </c>
      <c r="AB17" s="115"/>
    </row>
    <row r="18" spans="2:28" x14ac:dyDescent="0.35">
      <c r="B18" s="60"/>
      <c r="C18" s="56" t="s">
        <v>88</v>
      </c>
      <c r="D18" s="71">
        <v>3300</v>
      </c>
      <c r="E18" s="70">
        <v>48000</v>
      </c>
      <c r="F18" s="114">
        <f t="shared" si="0"/>
        <v>1900800</v>
      </c>
      <c r="G18" s="71">
        <f>3380</f>
        <v>3380</v>
      </c>
      <c r="H18" s="70">
        <v>48000</v>
      </c>
      <c r="I18" s="114">
        <f>H18*G18*12/1000</f>
        <v>1946880</v>
      </c>
      <c r="J18" s="64">
        <v>3273</v>
      </c>
      <c r="K18" s="70">
        <v>48000</v>
      </c>
      <c r="L18" s="114">
        <f>K18*J18*12/1000</f>
        <v>1885248</v>
      </c>
      <c r="M18" s="71">
        <v>3385</v>
      </c>
      <c r="N18" s="70">
        <v>48000</v>
      </c>
      <c r="O18" s="114">
        <f>N18*M18*12/1000</f>
        <v>1949760</v>
      </c>
      <c r="P18" s="71">
        <v>3385</v>
      </c>
      <c r="Q18" s="70">
        <v>48000</v>
      </c>
      <c r="R18" s="114">
        <f>Q18*P18*12/1000</f>
        <v>1949760</v>
      </c>
      <c r="S18" s="71">
        <f>+J18</f>
        <v>3273</v>
      </c>
      <c r="T18" s="70">
        <v>48000</v>
      </c>
      <c r="U18" s="114">
        <f>T18*S18*12/1000</f>
        <v>1885248</v>
      </c>
      <c r="V18" s="110"/>
      <c r="W18" s="111"/>
      <c r="X18" s="109">
        <v>48000</v>
      </c>
      <c r="Y18" s="109"/>
      <c r="Z18" s="109" t="s">
        <v>166</v>
      </c>
      <c r="AA18" s="109">
        <v>3273</v>
      </c>
      <c r="AB18" s="115"/>
    </row>
    <row r="19" spans="2:28" x14ac:dyDescent="0.35">
      <c r="B19" s="60"/>
      <c r="C19" s="56" t="s">
        <v>89</v>
      </c>
      <c r="D19" s="71">
        <v>2345</v>
      </c>
      <c r="E19" s="70">
        <v>36000</v>
      </c>
      <c r="F19" s="114">
        <f t="shared" si="0"/>
        <v>1013040</v>
      </c>
      <c r="G19" s="71">
        <v>2800</v>
      </c>
      <c r="H19" s="70">
        <v>36000</v>
      </c>
      <c r="I19" s="114">
        <f>H19*G19*12/1000</f>
        <v>1209600</v>
      </c>
      <c r="J19" s="64">
        <v>3054</v>
      </c>
      <c r="K19" s="70">
        <v>36000</v>
      </c>
      <c r="L19" s="114">
        <f>K19*J19*12/1000</f>
        <v>1319328</v>
      </c>
      <c r="M19" s="71">
        <v>2900</v>
      </c>
      <c r="N19" s="70">
        <v>36000</v>
      </c>
      <c r="O19" s="114">
        <f>N19*M19*12/1000</f>
        <v>1252800</v>
      </c>
      <c r="P19" s="71">
        <v>2900</v>
      </c>
      <c r="Q19" s="70">
        <v>36000</v>
      </c>
      <c r="R19" s="114">
        <f>Q19*P19*12/1000</f>
        <v>1252800</v>
      </c>
      <c r="S19" s="71">
        <v>3054</v>
      </c>
      <c r="T19" s="70">
        <v>36000</v>
      </c>
      <c r="U19" s="114">
        <f>T19*S19*12/1000</f>
        <v>1319328</v>
      </c>
      <c r="V19" s="110"/>
      <c r="W19" s="111"/>
      <c r="X19" s="109">
        <v>36000</v>
      </c>
      <c r="Y19" s="109"/>
      <c r="Z19" s="109" t="s">
        <v>167</v>
      </c>
      <c r="AA19" s="109">
        <v>3054</v>
      </c>
      <c r="AB19" s="115"/>
    </row>
    <row r="20" spans="2:28" s="113" customFormat="1" ht="22.8" x14ac:dyDescent="0.35">
      <c r="B20" s="60" t="s">
        <v>126</v>
      </c>
      <c r="C20" s="55" t="s">
        <v>92</v>
      </c>
      <c r="D20" s="63">
        <f>D21+D22+D23</f>
        <v>3246</v>
      </c>
      <c r="E20" s="84" t="s">
        <v>40</v>
      </c>
      <c r="F20" s="63">
        <f>F21+F22+F23</f>
        <v>617544</v>
      </c>
      <c r="G20" s="63">
        <f>G21+G22+G23</f>
        <v>3216</v>
      </c>
      <c r="H20" s="84" t="s">
        <v>40</v>
      </c>
      <c r="I20" s="63">
        <f>I21+I22+I23</f>
        <v>613296</v>
      </c>
      <c r="J20" s="63">
        <f>J21+J22+J23</f>
        <v>3363</v>
      </c>
      <c r="K20" s="84" t="s">
        <v>40</v>
      </c>
      <c r="L20" s="63">
        <f>L21+L22+L23</f>
        <v>640356</v>
      </c>
      <c r="M20" s="63">
        <f>M21+M22+M23</f>
        <v>3385</v>
      </c>
      <c r="N20" s="84" t="s">
        <v>40</v>
      </c>
      <c r="O20" s="63">
        <f>O21+O22+O23</f>
        <v>643860</v>
      </c>
      <c r="P20" s="63">
        <f>P21+P22+P23</f>
        <v>3385</v>
      </c>
      <c r="Q20" s="84" t="s">
        <v>40</v>
      </c>
      <c r="R20" s="63">
        <f>R21+R22+R23</f>
        <v>643860</v>
      </c>
      <c r="S20" s="63">
        <f>S21+S22+S23</f>
        <v>3363</v>
      </c>
      <c r="T20" s="84" t="s">
        <v>40</v>
      </c>
      <c r="U20" s="63">
        <f>U21+U22+U23</f>
        <v>640356</v>
      </c>
      <c r="V20" s="110"/>
      <c r="W20" s="111"/>
      <c r="X20" s="112" t="s">
        <v>40</v>
      </c>
      <c r="Y20" s="112" t="s">
        <v>126</v>
      </c>
      <c r="Z20" s="112" t="s">
        <v>170</v>
      </c>
      <c r="AA20" s="112">
        <v>3363</v>
      </c>
    </row>
    <row r="21" spans="2:28" x14ac:dyDescent="0.35">
      <c r="B21" s="60"/>
      <c r="C21" s="56" t="s">
        <v>87</v>
      </c>
      <c r="D21" s="71">
        <v>140</v>
      </c>
      <c r="E21" s="70">
        <v>19000</v>
      </c>
      <c r="F21" s="114">
        <f t="shared" si="0"/>
        <v>31920</v>
      </c>
      <c r="G21" s="71">
        <v>153</v>
      </c>
      <c r="H21" s="70">
        <v>19000</v>
      </c>
      <c r="I21" s="114">
        <f t="shared" ref="I21:I27" si="1">H21*G21*12/1000</f>
        <v>34884</v>
      </c>
      <c r="J21" s="64">
        <v>153</v>
      </c>
      <c r="K21" s="70">
        <v>19000</v>
      </c>
      <c r="L21" s="114">
        <f t="shared" ref="L21:L27" si="2">K21*J21*12/1000</f>
        <v>34884</v>
      </c>
      <c r="M21" s="71">
        <v>155</v>
      </c>
      <c r="N21" s="70">
        <v>19000</v>
      </c>
      <c r="O21" s="114">
        <f t="shared" ref="O21:O27" si="3">N21*M21*12/1000</f>
        <v>35340</v>
      </c>
      <c r="P21" s="71">
        <v>155</v>
      </c>
      <c r="Q21" s="70">
        <v>19000</v>
      </c>
      <c r="R21" s="114">
        <f t="shared" ref="R21:R27" si="4">Q21*P21*12/1000</f>
        <v>35340</v>
      </c>
      <c r="S21" s="71">
        <v>153</v>
      </c>
      <c r="T21" s="70">
        <v>19000</v>
      </c>
      <c r="U21" s="114">
        <f t="shared" ref="U21:U27" si="5">T21*S21*12/1000</f>
        <v>34884</v>
      </c>
      <c r="V21" s="110"/>
      <c r="W21" s="111"/>
      <c r="X21" s="109">
        <v>19000</v>
      </c>
      <c r="Y21" s="109"/>
      <c r="Z21" s="109" t="s">
        <v>165</v>
      </c>
      <c r="AA21" s="109">
        <v>153</v>
      </c>
      <c r="AB21" s="115"/>
    </row>
    <row r="22" spans="2:28" x14ac:dyDescent="0.35">
      <c r="B22" s="60"/>
      <c r="C22" s="56" t="s">
        <v>88</v>
      </c>
      <c r="D22" s="71">
        <v>1106</v>
      </c>
      <c r="E22" s="70">
        <v>17000</v>
      </c>
      <c r="F22" s="114">
        <f t="shared" si="0"/>
        <v>225624</v>
      </c>
      <c r="G22" s="71">
        <v>1128</v>
      </c>
      <c r="H22" s="70">
        <v>17000</v>
      </c>
      <c r="I22" s="114">
        <f t="shared" si="1"/>
        <v>230112</v>
      </c>
      <c r="J22" s="64">
        <v>1153</v>
      </c>
      <c r="K22" s="70">
        <v>17000</v>
      </c>
      <c r="L22" s="114">
        <f t="shared" si="2"/>
        <v>235212</v>
      </c>
      <c r="M22" s="71">
        <v>1130</v>
      </c>
      <c r="N22" s="70">
        <v>17000</v>
      </c>
      <c r="O22" s="114">
        <f t="shared" si="3"/>
        <v>230520</v>
      </c>
      <c r="P22" s="71">
        <v>1130</v>
      </c>
      <c r="Q22" s="70">
        <v>17000</v>
      </c>
      <c r="R22" s="114">
        <f t="shared" si="4"/>
        <v>230520</v>
      </c>
      <c r="S22" s="71">
        <v>1153</v>
      </c>
      <c r="T22" s="70">
        <v>17000</v>
      </c>
      <c r="U22" s="114">
        <f t="shared" si="5"/>
        <v>235212</v>
      </c>
      <c r="V22" s="110"/>
      <c r="W22" s="111"/>
      <c r="X22" s="109">
        <v>17000</v>
      </c>
      <c r="Y22" s="109"/>
      <c r="Z22" s="109" t="s">
        <v>166</v>
      </c>
      <c r="AA22" s="109">
        <v>1153</v>
      </c>
      <c r="AB22" s="115"/>
    </row>
    <row r="23" spans="2:28" x14ac:dyDescent="0.35">
      <c r="B23" s="60"/>
      <c r="C23" s="56" t="s">
        <v>89</v>
      </c>
      <c r="D23" s="71">
        <v>2000</v>
      </c>
      <c r="E23" s="70">
        <v>15000</v>
      </c>
      <c r="F23" s="114">
        <f t="shared" si="0"/>
        <v>360000</v>
      </c>
      <c r="G23" s="71">
        <v>1935</v>
      </c>
      <c r="H23" s="70">
        <v>15000</v>
      </c>
      <c r="I23" s="114">
        <f t="shared" si="1"/>
        <v>348300</v>
      </c>
      <c r="J23" s="64">
        <v>2057</v>
      </c>
      <c r="K23" s="70">
        <v>15000</v>
      </c>
      <c r="L23" s="114">
        <f t="shared" si="2"/>
        <v>370260</v>
      </c>
      <c r="M23" s="71">
        <v>2100</v>
      </c>
      <c r="N23" s="70">
        <v>15000</v>
      </c>
      <c r="O23" s="114">
        <f t="shared" si="3"/>
        <v>378000</v>
      </c>
      <c r="P23" s="71">
        <v>2100</v>
      </c>
      <c r="Q23" s="70">
        <v>15000</v>
      </c>
      <c r="R23" s="114">
        <f t="shared" si="4"/>
        <v>378000</v>
      </c>
      <c r="S23" s="71">
        <v>2057</v>
      </c>
      <c r="T23" s="70">
        <v>15000</v>
      </c>
      <c r="U23" s="114">
        <f t="shared" si="5"/>
        <v>370260</v>
      </c>
      <c r="V23" s="110"/>
      <c r="W23" s="111"/>
      <c r="X23" s="109">
        <v>15000</v>
      </c>
      <c r="Y23" s="109"/>
      <c r="Z23" s="109" t="s">
        <v>167</v>
      </c>
      <c r="AA23" s="109">
        <v>2057</v>
      </c>
      <c r="AB23" s="115"/>
    </row>
    <row r="24" spans="2:28" s="113" customFormat="1" ht="22.8" x14ac:dyDescent="0.35">
      <c r="B24" s="60" t="s">
        <v>127</v>
      </c>
      <c r="C24" s="55" t="s">
        <v>93</v>
      </c>
      <c r="D24" s="63">
        <v>201</v>
      </c>
      <c r="E24" s="84">
        <v>12000</v>
      </c>
      <c r="F24" s="116">
        <f>E24*D24*12/1000</f>
        <v>28944</v>
      </c>
      <c r="G24" s="63">
        <v>154</v>
      </c>
      <c r="H24" s="84">
        <v>12000</v>
      </c>
      <c r="I24" s="116">
        <f t="shared" si="1"/>
        <v>22176</v>
      </c>
      <c r="J24" s="65">
        <v>193</v>
      </c>
      <c r="K24" s="84">
        <v>12000</v>
      </c>
      <c r="L24" s="116">
        <f t="shared" si="2"/>
        <v>27792</v>
      </c>
      <c r="M24" s="63">
        <v>145</v>
      </c>
      <c r="N24" s="84">
        <v>12000</v>
      </c>
      <c r="O24" s="116">
        <f t="shared" si="3"/>
        <v>20880</v>
      </c>
      <c r="P24" s="63">
        <v>145</v>
      </c>
      <c r="Q24" s="84">
        <v>12000</v>
      </c>
      <c r="R24" s="116">
        <f t="shared" si="4"/>
        <v>20880</v>
      </c>
      <c r="S24" s="63">
        <v>180</v>
      </c>
      <c r="T24" s="84">
        <v>12000</v>
      </c>
      <c r="U24" s="116">
        <f t="shared" si="5"/>
        <v>25920</v>
      </c>
      <c r="V24" s="110"/>
      <c r="W24" s="111"/>
      <c r="X24" s="112">
        <v>12000</v>
      </c>
      <c r="Y24" s="112" t="s">
        <v>127</v>
      </c>
      <c r="Z24" s="112" t="s">
        <v>171</v>
      </c>
      <c r="AA24" s="112">
        <v>193</v>
      </c>
      <c r="AB24" s="115"/>
    </row>
    <row r="25" spans="2:28" s="113" customFormat="1" x14ac:dyDescent="0.35">
      <c r="B25" s="60" t="s">
        <v>128</v>
      </c>
      <c r="C25" s="55" t="s">
        <v>94</v>
      </c>
      <c r="D25" s="63">
        <v>5237</v>
      </c>
      <c r="E25" s="84">
        <v>5000</v>
      </c>
      <c r="F25" s="116">
        <f>E25*D25*12/1000</f>
        <v>314220</v>
      </c>
      <c r="G25" s="63">
        <v>4963</v>
      </c>
      <c r="H25" s="84">
        <v>5000</v>
      </c>
      <c r="I25" s="116">
        <f t="shared" si="1"/>
        <v>297780</v>
      </c>
      <c r="J25" s="65">
        <v>5510</v>
      </c>
      <c r="K25" s="84">
        <v>5000</v>
      </c>
      <c r="L25" s="116">
        <f t="shared" si="2"/>
        <v>330600</v>
      </c>
      <c r="M25" s="63">
        <v>5000</v>
      </c>
      <c r="N25" s="84">
        <v>5000</v>
      </c>
      <c r="O25" s="116">
        <f t="shared" si="3"/>
        <v>300000</v>
      </c>
      <c r="P25" s="63">
        <v>5000</v>
      </c>
      <c r="Q25" s="84">
        <v>5000</v>
      </c>
      <c r="R25" s="116">
        <f t="shared" si="4"/>
        <v>300000</v>
      </c>
      <c r="S25" s="63">
        <v>5600</v>
      </c>
      <c r="T25" s="84">
        <v>5000</v>
      </c>
      <c r="U25" s="116">
        <f t="shared" si="5"/>
        <v>336000</v>
      </c>
      <c r="V25" s="110"/>
      <c r="W25" s="111"/>
      <c r="X25" s="112">
        <v>5000</v>
      </c>
      <c r="Y25" s="112" t="s">
        <v>128</v>
      </c>
      <c r="Z25" s="112" t="s">
        <v>172</v>
      </c>
      <c r="AA25" s="112">
        <v>5510</v>
      </c>
      <c r="AB25" s="115"/>
    </row>
    <row r="26" spans="2:28" s="113" customFormat="1" x14ac:dyDescent="0.35">
      <c r="B26" s="60" t="s">
        <v>129</v>
      </c>
      <c r="C26" s="55" t="s">
        <v>95</v>
      </c>
      <c r="D26" s="63">
        <v>1</v>
      </c>
      <c r="E26" s="84">
        <v>150000</v>
      </c>
      <c r="F26" s="116">
        <f>E26*D26*12/1000</f>
        <v>1800</v>
      </c>
      <c r="G26" s="63">
        <v>0</v>
      </c>
      <c r="H26" s="84">
        <v>150000</v>
      </c>
      <c r="I26" s="116">
        <f t="shared" si="1"/>
        <v>0</v>
      </c>
      <c r="J26" s="65">
        <v>5</v>
      </c>
      <c r="K26" s="84">
        <v>150000</v>
      </c>
      <c r="L26" s="116">
        <f t="shared" si="2"/>
        <v>9000</v>
      </c>
      <c r="M26" s="63">
        <v>0</v>
      </c>
      <c r="N26" s="84">
        <v>150000</v>
      </c>
      <c r="O26" s="116">
        <f t="shared" si="3"/>
        <v>0</v>
      </c>
      <c r="P26" s="63">
        <v>0</v>
      </c>
      <c r="Q26" s="84">
        <v>150000</v>
      </c>
      <c r="R26" s="116">
        <f t="shared" si="4"/>
        <v>0</v>
      </c>
      <c r="S26" s="63">
        <v>7</v>
      </c>
      <c r="T26" s="84">
        <v>150000</v>
      </c>
      <c r="U26" s="116">
        <f t="shared" si="5"/>
        <v>12600</v>
      </c>
      <c r="V26" s="110"/>
      <c r="W26" s="111"/>
      <c r="X26" s="112">
        <v>150000</v>
      </c>
      <c r="Y26" s="112" t="s">
        <v>129</v>
      </c>
      <c r="Z26" s="112" t="s">
        <v>173</v>
      </c>
      <c r="AA26" s="112">
        <v>5</v>
      </c>
      <c r="AB26" s="115"/>
    </row>
    <row r="27" spans="2:28" s="113" customFormat="1" x14ac:dyDescent="0.35">
      <c r="B27" s="60" t="s">
        <v>130</v>
      </c>
      <c r="C27" s="55" t="s">
        <v>96</v>
      </c>
      <c r="D27" s="63">
        <v>268</v>
      </c>
      <c r="E27" s="84">
        <v>15000</v>
      </c>
      <c r="F27" s="116">
        <f>E27*D27*12/1000</f>
        <v>48240</v>
      </c>
      <c r="G27" s="63">
        <v>253</v>
      </c>
      <c r="H27" s="84">
        <v>15000</v>
      </c>
      <c r="I27" s="116">
        <f t="shared" si="1"/>
        <v>45540</v>
      </c>
      <c r="J27" s="65">
        <v>335</v>
      </c>
      <c r="K27" s="84">
        <v>15000</v>
      </c>
      <c r="L27" s="116">
        <f t="shared" si="2"/>
        <v>60300</v>
      </c>
      <c r="M27" s="63">
        <v>260</v>
      </c>
      <c r="N27" s="84">
        <v>15000</v>
      </c>
      <c r="O27" s="116">
        <f t="shared" si="3"/>
        <v>46800</v>
      </c>
      <c r="P27" s="63">
        <v>260</v>
      </c>
      <c r="Q27" s="84">
        <v>15000</v>
      </c>
      <c r="R27" s="116">
        <f t="shared" si="4"/>
        <v>46800</v>
      </c>
      <c r="S27" s="63">
        <v>375</v>
      </c>
      <c r="T27" s="84">
        <v>15000</v>
      </c>
      <c r="U27" s="116">
        <f t="shared" si="5"/>
        <v>67500</v>
      </c>
      <c r="V27" s="110"/>
      <c r="W27" s="111"/>
      <c r="X27" s="112">
        <v>15000</v>
      </c>
      <c r="Y27" s="112" t="s">
        <v>130</v>
      </c>
      <c r="Z27" s="112" t="s">
        <v>174</v>
      </c>
      <c r="AA27" s="112">
        <v>335</v>
      </c>
      <c r="AB27" s="115"/>
    </row>
    <row r="28" spans="2:28" s="113" customFormat="1" ht="22.8" x14ac:dyDescent="0.35">
      <c r="B28" s="60" t="s">
        <v>131</v>
      </c>
      <c r="C28" s="55" t="s">
        <v>97</v>
      </c>
      <c r="D28" s="63">
        <f>D29+D30</f>
        <v>581</v>
      </c>
      <c r="E28" s="84" t="s">
        <v>40</v>
      </c>
      <c r="F28" s="63">
        <f>F29+F30</f>
        <v>105360</v>
      </c>
      <c r="G28" s="63">
        <f>G29+G30</f>
        <v>565</v>
      </c>
      <c r="H28" s="84" t="s">
        <v>40</v>
      </c>
      <c r="I28" s="63">
        <f>I29+I30</f>
        <v>103980</v>
      </c>
      <c r="J28" s="63">
        <f>J29+J30</f>
        <v>537</v>
      </c>
      <c r="K28" s="84" t="s">
        <v>40</v>
      </c>
      <c r="L28" s="63">
        <f>L29+L30</f>
        <v>96516</v>
      </c>
      <c r="M28" s="63">
        <f>M29+M30</f>
        <v>580</v>
      </c>
      <c r="N28" s="84" t="s">
        <v>40</v>
      </c>
      <c r="O28" s="63">
        <f>O29+O30</f>
        <v>106680</v>
      </c>
      <c r="P28" s="63">
        <f>P29+P30</f>
        <v>580</v>
      </c>
      <c r="Q28" s="84" t="s">
        <v>40</v>
      </c>
      <c r="R28" s="63">
        <f>R29+R30</f>
        <v>106680</v>
      </c>
      <c r="S28" s="63">
        <f>S29+S30</f>
        <v>490</v>
      </c>
      <c r="T28" s="84" t="s">
        <v>40</v>
      </c>
      <c r="U28" s="63">
        <f>U29+U30</f>
        <v>87960</v>
      </c>
      <c r="V28" s="110"/>
      <c r="W28" s="111"/>
      <c r="X28" s="112" t="s">
        <v>40</v>
      </c>
      <c r="Y28" s="112" t="s">
        <v>131</v>
      </c>
      <c r="Z28" s="112" t="s">
        <v>175</v>
      </c>
      <c r="AA28" s="112">
        <v>537</v>
      </c>
    </row>
    <row r="29" spans="2:28" x14ac:dyDescent="0.35">
      <c r="B29" s="60"/>
      <c r="C29" s="56" t="s">
        <v>98</v>
      </c>
      <c r="D29" s="71">
        <v>409</v>
      </c>
      <c r="E29" s="70">
        <v>16000</v>
      </c>
      <c r="F29" s="114">
        <f>E29*D29*12/1000</f>
        <v>78528</v>
      </c>
      <c r="G29" s="71">
        <v>440</v>
      </c>
      <c r="H29" s="70">
        <v>16000</v>
      </c>
      <c r="I29" s="114">
        <f>H29*G29*12/1000</f>
        <v>84480</v>
      </c>
      <c r="J29" s="64">
        <v>354</v>
      </c>
      <c r="K29" s="70">
        <v>16000</v>
      </c>
      <c r="L29" s="114">
        <f>K29*J29*12/1000</f>
        <v>67968</v>
      </c>
      <c r="M29" s="71">
        <v>450</v>
      </c>
      <c r="N29" s="70">
        <v>16000</v>
      </c>
      <c r="O29" s="114">
        <f>N29*M29*12/1000</f>
        <v>86400</v>
      </c>
      <c r="P29" s="71">
        <v>450</v>
      </c>
      <c r="Q29" s="70">
        <v>16000</v>
      </c>
      <c r="R29" s="114">
        <f>Q29*P29*12/1000</f>
        <v>86400</v>
      </c>
      <c r="S29" s="71">
        <v>320</v>
      </c>
      <c r="T29" s="70">
        <v>16000</v>
      </c>
      <c r="U29" s="114">
        <f>T29*S29*12/1000</f>
        <v>61440</v>
      </c>
      <c r="V29" s="110"/>
      <c r="W29" s="111"/>
      <c r="X29" s="109">
        <v>16000</v>
      </c>
      <c r="Y29" s="109"/>
      <c r="Z29" s="109" t="s">
        <v>98</v>
      </c>
      <c r="AA29" s="109">
        <v>354</v>
      </c>
      <c r="AB29" s="115"/>
    </row>
    <row r="30" spans="2:28" x14ac:dyDescent="0.35">
      <c r="B30" s="60"/>
      <c r="C30" s="56" t="s">
        <v>99</v>
      </c>
      <c r="D30" s="71">
        <v>172</v>
      </c>
      <c r="E30" s="70">
        <v>13000</v>
      </c>
      <c r="F30" s="114">
        <f>E30*D30*12/1000</f>
        <v>26832</v>
      </c>
      <c r="G30" s="71">
        <v>125</v>
      </c>
      <c r="H30" s="70">
        <v>13000</v>
      </c>
      <c r="I30" s="114">
        <f>H30*G30*12/1000</f>
        <v>19500</v>
      </c>
      <c r="J30" s="64">
        <v>183</v>
      </c>
      <c r="K30" s="70">
        <v>13000</v>
      </c>
      <c r="L30" s="114">
        <f>K30*J30*12/1000</f>
        <v>28548</v>
      </c>
      <c r="M30" s="71">
        <v>130</v>
      </c>
      <c r="N30" s="70">
        <v>13000</v>
      </c>
      <c r="O30" s="114">
        <f>N30*M30*12/1000</f>
        <v>20280</v>
      </c>
      <c r="P30" s="71">
        <v>130</v>
      </c>
      <c r="Q30" s="70">
        <v>13000</v>
      </c>
      <c r="R30" s="114">
        <f>Q30*P30*12/1000</f>
        <v>20280</v>
      </c>
      <c r="S30" s="71">
        <v>170</v>
      </c>
      <c r="T30" s="70">
        <v>13000</v>
      </c>
      <c r="U30" s="114">
        <f>T30*S30*12/1000</f>
        <v>26520</v>
      </c>
      <c r="V30" s="110"/>
      <c r="W30" s="111"/>
      <c r="X30" s="109">
        <v>13000</v>
      </c>
      <c r="Y30" s="109"/>
      <c r="Z30" s="109" t="s">
        <v>99</v>
      </c>
      <c r="AA30" s="109">
        <v>183</v>
      </c>
      <c r="AB30" s="115"/>
    </row>
    <row r="31" spans="2:28" s="113" customFormat="1" ht="79.8" x14ac:dyDescent="0.35">
      <c r="B31" s="60" t="s">
        <v>132</v>
      </c>
      <c r="C31" s="55" t="s">
        <v>100</v>
      </c>
      <c r="D31" s="63"/>
      <c r="E31" s="84"/>
      <c r="F31" s="116"/>
      <c r="G31" s="63">
        <v>110</v>
      </c>
      <c r="H31" s="84">
        <v>31000</v>
      </c>
      <c r="I31" s="114">
        <f t="shared" ref="I31:I32" si="6">H31*G31*12/1000</f>
        <v>40920</v>
      </c>
      <c r="J31" s="66">
        <v>136</v>
      </c>
      <c r="K31" s="84">
        <v>31000</v>
      </c>
      <c r="L31" s="116">
        <f t="shared" ref="L31:L32" si="7">K31*J31*12/1000</f>
        <v>50592</v>
      </c>
      <c r="M31" s="63">
        <v>120</v>
      </c>
      <c r="N31" s="84">
        <v>31000</v>
      </c>
      <c r="O31" s="116">
        <f>N31*M31*12/1000</f>
        <v>44640</v>
      </c>
      <c r="P31" s="63">
        <v>120</v>
      </c>
      <c r="Q31" s="84">
        <v>31000</v>
      </c>
      <c r="R31" s="116">
        <f>Q31*P31*12/1000</f>
        <v>44640</v>
      </c>
      <c r="S31" s="63">
        <v>140</v>
      </c>
      <c r="T31" s="84">
        <v>31000</v>
      </c>
      <c r="U31" s="116">
        <f t="shared" ref="U31:U32" si="8">T31*S31*12/1000</f>
        <v>52080</v>
      </c>
      <c r="V31" s="110"/>
      <c r="W31" s="111"/>
      <c r="X31" s="112"/>
      <c r="Y31" s="112"/>
      <c r="Z31" s="112"/>
      <c r="AA31" s="112"/>
    </row>
    <row r="32" spans="2:28" s="113" customFormat="1" ht="34.200000000000003" x14ac:dyDescent="0.35">
      <c r="B32" s="60" t="s">
        <v>133</v>
      </c>
      <c r="C32" s="55" t="s">
        <v>101</v>
      </c>
      <c r="D32" s="63"/>
      <c r="E32" s="84"/>
      <c r="F32" s="116"/>
      <c r="G32" s="63">
        <v>73</v>
      </c>
      <c r="H32" s="84">
        <v>31000</v>
      </c>
      <c r="I32" s="114">
        <f t="shared" si="6"/>
        <v>27156</v>
      </c>
      <c r="J32" s="66">
        <v>109</v>
      </c>
      <c r="K32" s="84">
        <v>31000</v>
      </c>
      <c r="L32" s="116">
        <f t="shared" si="7"/>
        <v>40548</v>
      </c>
      <c r="M32" s="63">
        <v>80</v>
      </c>
      <c r="N32" s="84">
        <v>31000</v>
      </c>
      <c r="O32" s="116">
        <f>N32*M32*12/1000</f>
        <v>29760</v>
      </c>
      <c r="P32" s="63">
        <v>80</v>
      </c>
      <c r="Q32" s="84">
        <v>31000</v>
      </c>
      <c r="R32" s="116">
        <f>Q32*P32*12/1000</f>
        <v>29760</v>
      </c>
      <c r="S32" s="63">
        <v>120</v>
      </c>
      <c r="T32" s="84">
        <v>31000</v>
      </c>
      <c r="U32" s="116">
        <f t="shared" si="8"/>
        <v>44640</v>
      </c>
      <c r="V32" s="110"/>
      <c r="W32" s="111"/>
      <c r="X32" s="112"/>
      <c r="Y32" s="112"/>
      <c r="Z32" s="112"/>
      <c r="AA32" s="112"/>
      <c r="AB32" s="115"/>
    </row>
    <row r="33" spans="2:28" s="113" customFormat="1" ht="22.8" x14ac:dyDescent="0.35">
      <c r="B33" s="59">
        <v>2</v>
      </c>
      <c r="C33" s="54" t="s">
        <v>102</v>
      </c>
      <c r="D33" s="62">
        <f>SUM(D34:D35)</f>
        <v>654</v>
      </c>
      <c r="E33" s="117" t="s">
        <v>40</v>
      </c>
      <c r="F33" s="62">
        <f>SUM(F34:F35)</f>
        <v>94176</v>
      </c>
      <c r="G33" s="62">
        <f>SUM(G34:G35)</f>
        <v>705</v>
      </c>
      <c r="H33" s="117" t="s">
        <v>40</v>
      </c>
      <c r="I33" s="62">
        <f>SUM(I34:I35)</f>
        <v>101520</v>
      </c>
      <c r="J33" s="62">
        <f>SUM(J34:J35)</f>
        <v>561</v>
      </c>
      <c r="K33" s="117" t="s">
        <v>40</v>
      </c>
      <c r="L33" s="62">
        <f>SUM(L34:L35)</f>
        <v>80784</v>
      </c>
      <c r="M33" s="62">
        <f>SUM(M34:M35)</f>
        <v>675</v>
      </c>
      <c r="N33" s="117" t="s">
        <v>40</v>
      </c>
      <c r="O33" s="62">
        <f>SUM(O34:O35)</f>
        <v>97200</v>
      </c>
      <c r="P33" s="62">
        <f>SUM(P34:P35)</f>
        <v>675</v>
      </c>
      <c r="Q33" s="117" t="s">
        <v>40</v>
      </c>
      <c r="R33" s="62">
        <f>SUM(R34:R35)</f>
        <v>97200</v>
      </c>
      <c r="S33" s="62">
        <f>SUM(S34:S35)</f>
        <v>491</v>
      </c>
      <c r="T33" s="117" t="s">
        <v>40</v>
      </c>
      <c r="U33" s="62">
        <f>SUM(U34:U35)</f>
        <v>70704</v>
      </c>
      <c r="V33" s="110"/>
      <c r="W33" s="111"/>
      <c r="X33" s="112" t="s">
        <v>40</v>
      </c>
      <c r="Y33" s="112" t="s">
        <v>176</v>
      </c>
      <c r="Z33" s="112" t="s">
        <v>177</v>
      </c>
      <c r="AA33" s="112">
        <v>561</v>
      </c>
      <c r="AB33" s="115"/>
    </row>
    <row r="34" spans="2:28" s="113" customFormat="1" ht="22.8" x14ac:dyDescent="0.35">
      <c r="B34" s="60" t="s">
        <v>134</v>
      </c>
      <c r="C34" s="55" t="s">
        <v>103</v>
      </c>
      <c r="D34" s="63">
        <v>202</v>
      </c>
      <c r="E34" s="84">
        <v>12000</v>
      </c>
      <c r="F34" s="116">
        <f>E34*D34*12/1000</f>
        <v>29088</v>
      </c>
      <c r="G34" s="63">
        <v>236</v>
      </c>
      <c r="H34" s="84">
        <v>12000</v>
      </c>
      <c r="I34" s="116">
        <f>H34*G34*12/1000</f>
        <v>33984</v>
      </c>
      <c r="J34" s="65">
        <v>146</v>
      </c>
      <c r="K34" s="84">
        <v>12000</v>
      </c>
      <c r="L34" s="116">
        <f>K34*J34*12/1000</f>
        <v>21024</v>
      </c>
      <c r="M34" s="63">
        <v>225</v>
      </c>
      <c r="N34" s="84">
        <v>12000</v>
      </c>
      <c r="O34" s="116">
        <f>N34*M34*12/1000</f>
        <v>32400</v>
      </c>
      <c r="P34" s="63">
        <v>225</v>
      </c>
      <c r="Q34" s="84">
        <v>12000</v>
      </c>
      <c r="R34" s="116">
        <f>Q34*P34*12/1000</f>
        <v>32400</v>
      </c>
      <c r="S34" s="63">
        <v>106</v>
      </c>
      <c r="T34" s="84">
        <v>12000</v>
      </c>
      <c r="U34" s="116">
        <f>T34*S34*12/1000</f>
        <v>15264</v>
      </c>
      <c r="V34" s="110"/>
      <c r="W34" s="111"/>
      <c r="X34" s="112">
        <v>12000</v>
      </c>
      <c r="Y34" s="112" t="s">
        <v>134</v>
      </c>
      <c r="Z34" s="112" t="s">
        <v>178</v>
      </c>
      <c r="AA34" s="112">
        <v>146</v>
      </c>
      <c r="AB34" s="115"/>
    </row>
    <row r="35" spans="2:28" s="113" customFormat="1" ht="34.200000000000003" x14ac:dyDescent="0.35">
      <c r="B35" s="60" t="s">
        <v>135</v>
      </c>
      <c r="C35" s="55" t="s">
        <v>104</v>
      </c>
      <c r="D35" s="63">
        <v>452</v>
      </c>
      <c r="E35" s="84">
        <v>12000</v>
      </c>
      <c r="F35" s="116">
        <f>E35*D35*12/1000</f>
        <v>65088</v>
      </c>
      <c r="G35" s="63">
        <v>469</v>
      </c>
      <c r="H35" s="84">
        <v>12000</v>
      </c>
      <c r="I35" s="116">
        <f>H35*G35*12/1000</f>
        <v>67536</v>
      </c>
      <c r="J35" s="65">
        <v>415</v>
      </c>
      <c r="K35" s="84">
        <v>12000</v>
      </c>
      <c r="L35" s="116">
        <f>K35*J35*12/1000</f>
        <v>59760</v>
      </c>
      <c r="M35" s="63">
        <v>450</v>
      </c>
      <c r="N35" s="84">
        <v>12000</v>
      </c>
      <c r="O35" s="116">
        <f>N35*M35*12/1000</f>
        <v>64800</v>
      </c>
      <c r="P35" s="63">
        <v>450</v>
      </c>
      <c r="Q35" s="84">
        <v>12000</v>
      </c>
      <c r="R35" s="116">
        <f>Q35*P35*12/1000</f>
        <v>64800</v>
      </c>
      <c r="S35" s="63">
        <v>385</v>
      </c>
      <c r="T35" s="84">
        <v>12000</v>
      </c>
      <c r="U35" s="116">
        <f>T35*S35*12/1000</f>
        <v>55440</v>
      </c>
      <c r="V35" s="110"/>
      <c r="W35" s="111"/>
      <c r="X35" s="112">
        <v>12000</v>
      </c>
      <c r="Y35" s="112" t="s">
        <v>179</v>
      </c>
      <c r="Z35" s="112" t="s">
        <v>180</v>
      </c>
      <c r="AA35" s="112">
        <v>415</v>
      </c>
      <c r="AB35" s="115"/>
    </row>
    <row r="36" spans="2:28" s="113" customFormat="1" ht="22.8" x14ac:dyDescent="0.35">
      <c r="B36" s="59" t="s">
        <v>136</v>
      </c>
      <c r="C36" s="54" t="s">
        <v>105</v>
      </c>
      <c r="D36" s="62">
        <f>D37+D40</f>
        <v>7704</v>
      </c>
      <c r="E36" s="117" t="s">
        <v>40</v>
      </c>
      <c r="F36" s="62">
        <f>F37+F40</f>
        <v>2866224</v>
      </c>
      <c r="G36" s="62">
        <f>G37+G40</f>
        <v>6867</v>
      </c>
      <c r="H36" s="117" t="s">
        <v>40</v>
      </c>
      <c r="I36" s="62">
        <f>I37+I40</f>
        <v>2554860</v>
      </c>
      <c r="J36" s="62">
        <f>J37+J40</f>
        <v>6988</v>
      </c>
      <c r="K36" s="117" t="s">
        <v>40</v>
      </c>
      <c r="L36" s="62">
        <f>L37+L40</f>
        <v>2599956</v>
      </c>
      <c r="M36" s="62">
        <f>M37+M40</f>
        <v>7606</v>
      </c>
      <c r="N36" s="117" t="s">
        <v>40</v>
      </c>
      <c r="O36" s="62">
        <f>O37+O40</f>
        <v>2829936</v>
      </c>
      <c r="P36" s="62">
        <f>P37+P40</f>
        <v>7606</v>
      </c>
      <c r="Q36" s="117" t="s">
        <v>40</v>
      </c>
      <c r="R36" s="62">
        <f>R37+R40</f>
        <v>2829936</v>
      </c>
      <c r="S36" s="62">
        <f>S37+S40</f>
        <v>6908</v>
      </c>
      <c r="T36" s="117" t="s">
        <v>40</v>
      </c>
      <c r="U36" s="62">
        <f>U37+U40</f>
        <v>2570196</v>
      </c>
      <c r="V36" s="110"/>
      <c r="W36" s="111"/>
      <c r="X36" s="112" t="s">
        <v>40</v>
      </c>
      <c r="Y36" s="112" t="s">
        <v>136</v>
      </c>
      <c r="Z36" s="112" t="s">
        <v>181</v>
      </c>
      <c r="AA36" s="112">
        <v>7162</v>
      </c>
    </row>
    <row r="37" spans="2:28" s="113" customFormat="1" ht="22.8" x14ac:dyDescent="0.35">
      <c r="B37" s="60" t="s">
        <v>137</v>
      </c>
      <c r="C37" s="55" t="s">
        <v>106</v>
      </c>
      <c r="D37" s="63">
        <f>SUM(D38:D39)</f>
        <v>6853</v>
      </c>
      <c r="E37" s="84" t="s">
        <v>40</v>
      </c>
      <c r="F37" s="63">
        <f>+F38+F39</f>
        <v>2549652</v>
      </c>
      <c r="G37" s="63">
        <f>SUM(G38:G39)</f>
        <v>6011</v>
      </c>
      <c r="H37" s="84" t="s">
        <v>40</v>
      </c>
      <c r="I37" s="63">
        <f>+I38+I39</f>
        <v>2236428</v>
      </c>
      <c r="J37" s="63">
        <f>J38+J39</f>
        <v>6347</v>
      </c>
      <c r="K37" s="84" t="s">
        <v>40</v>
      </c>
      <c r="L37" s="63">
        <f>+L38+L39</f>
        <v>2361504</v>
      </c>
      <c r="M37" s="63">
        <f>M38+M39</f>
        <v>6606</v>
      </c>
      <c r="N37" s="84" t="s">
        <v>40</v>
      </c>
      <c r="O37" s="63">
        <f>+O38+O39</f>
        <v>2457936</v>
      </c>
      <c r="P37" s="63">
        <f>P38+P39</f>
        <v>6606</v>
      </c>
      <c r="Q37" s="84" t="s">
        <v>40</v>
      </c>
      <c r="R37" s="63">
        <f>+R38+R39</f>
        <v>2457936</v>
      </c>
      <c r="S37" s="63">
        <f>+S38+S39</f>
        <v>6367</v>
      </c>
      <c r="T37" s="84" t="s">
        <v>40</v>
      </c>
      <c r="U37" s="63">
        <f>+U38+U39</f>
        <v>2368944</v>
      </c>
      <c r="V37" s="110"/>
      <c r="W37" s="111"/>
      <c r="X37" s="112" t="s">
        <v>40</v>
      </c>
      <c r="Y37" s="112" t="s">
        <v>137</v>
      </c>
      <c r="Z37" s="112" t="s">
        <v>182</v>
      </c>
      <c r="AA37" s="112">
        <v>6521</v>
      </c>
    </row>
    <row r="38" spans="2:28" x14ac:dyDescent="0.35">
      <c r="B38" s="60"/>
      <c r="C38" s="56" t="s">
        <v>98</v>
      </c>
      <c r="D38" s="71">
        <v>4</v>
      </c>
      <c r="E38" s="70">
        <v>38000</v>
      </c>
      <c r="F38" s="114">
        <f>E38*D38*12/1000</f>
        <v>1824</v>
      </c>
      <c r="G38" s="71">
        <v>4</v>
      </c>
      <c r="H38" s="70">
        <v>38000</v>
      </c>
      <c r="I38" s="114">
        <f>H38*G38*12/1000</f>
        <v>1824</v>
      </c>
      <c r="J38" s="64">
        <v>5</v>
      </c>
      <c r="K38" s="70">
        <v>38000</v>
      </c>
      <c r="L38" s="114">
        <f>K38*J38*12/1000</f>
        <v>2280</v>
      </c>
      <c r="M38" s="71">
        <v>6</v>
      </c>
      <c r="N38" s="70">
        <v>38000</v>
      </c>
      <c r="O38" s="114">
        <f>N38*M38*12/1000</f>
        <v>2736</v>
      </c>
      <c r="P38" s="71">
        <v>6</v>
      </c>
      <c r="Q38" s="70">
        <v>38000</v>
      </c>
      <c r="R38" s="114">
        <f>Q38*P38*12/1000</f>
        <v>2736</v>
      </c>
      <c r="S38" s="71">
        <f>+J38</f>
        <v>5</v>
      </c>
      <c r="T38" s="70">
        <v>38000</v>
      </c>
      <c r="U38" s="114">
        <f>T38*S38*12/1000</f>
        <v>2280</v>
      </c>
      <c r="V38" s="110"/>
      <c r="W38" s="111"/>
      <c r="X38" s="112">
        <v>38000</v>
      </c>
      <c r="Y38" s="112"/>
      <c r="Z38" s="112" t="s">
        <v>98</v>
      </c>
      <c r="AA38" s="112">
        <v>5</v>
      </c>
    </row>
    <row r="39" spans="2:28" x14ac:dyDescent="0.35">
      <c r="B39" s="60"/>
      <c r="C39" s="56" t="s">
        <v>99</v>
      </c>
      <c r="D39" s="71">
        <v>6849</v>
      </c>
      <c r="E39" s="70">
        <v>31000</v>
      </c>
      <c r="F39" s="114">
        <f>E39*D39*12/1000</f>
        <v>2547828</v>
      </c>
      <c r="G39" s="71">
        <v>6007</v>
      </c>
      <c r="H39" s="70">
        <v>31000</v>
      </c>
      <c r="I39" s="114">
        <f>H39*G39*12/1000</f>
        <v>2234604</v>
      </c>
      <c r="J39" s="64">
        <f>6516-174</f>
        <v>6342</v>
      </c>
      <c r="K39" s="70">
        <v>31000</v>
      </c>
      <c r="L39" s="114">
        <f>K39*J39*12/1000</f>
        <v>2359224</v>
      </c>
      <c r="M39" s="71">
        <v>6600</v>
      </c>
      <c r="N39" s="70">
        <v>31000</v>
      </c>
      <c r="O39" s="114">
        <f>N39*M39*12/1000</f>
        <v>2455200</v>
      </c>
      <c r="P39" s="71">
        <v>6600</v>
      </c>
      <c r="Q39" s="70">
        <v>31000</v>
      </c>
      <c r="R39" s="114">
        <f>Q39*P39*12/1000</f>
        <v>2455200</v>
      </c>
      <c r="S39" s="71">
        <f>+J39+20</f>
        <v>6362</v>
      </c>
      <c r="T39" s="70">
        <v>31000</v>
      </c>
      <c r="U39" s="114">
        <f>T39*S39*12/1000</f>
        <v>2366664</v>
      </c>
      <c r="V39" s="110"/>
      <c r="W39" s="111"/>
      <c r="X39" s="109">
        <v>31000</v>
      </c>
      <c r="Y39" s="112"/>
      <c r="Z39" s="112" t="s">
        <v>99</v>
      </c>
      <c r="AA39" s="112">
        <v>6516</v>
      </c>
    </row>
    <row r="40" spans="2:28" s="113" customFormat="1" ht="57" x14ac:dyDescent="0.35">
      <c r="B40" s="60" t="s">
        <v>138</v>
      </c>
      <c r="C40" s="55" t="s">
        <v>107</v>
      </c>
      <c r="D40" s="63">
        <f>SUM(D41:D42)</f>
        <v>851</v>
      </c>
      <c r="E40" s="84" t="s">
        <v>40</v>
      </c>
      <c r="F40" s="65">
        <f>SUM(F41:F42)</f>
        <v>316572</v>
      </c>
      <c r="G40" s="63">
        <f>SUM(G41:G42)</f>
        <v>856</v>
      </c>
      <c r="H40" s="84" t="s">
        <v>40</v>
      </c>
      <c r="I40" s="65">
        <f>SUM(I41:I42)</f>
        <v>318432</v>
      </c>
      <c r="J40" s="63">
        <f>SUM(J41:J42)</f>
        <v>641</v>
      </c>
      <c r="K40" s="84" t="s">
        <v>40</v>
      </c>
      <c r="L40" s="65">
        <f>SUM(L41:L42)</f>
        <v>238452</v>
      </c>
      <c r="M40" s="63">
        <f>SUM(M41:M42)</f>
        <v>1000</v>
      </c>
      <c r="N40" s="84" t="s">
        <v>40</v>
      </c>
      <c r="O40" s="65">
        <f>SUM(O41:O42)</f>
        <v>372000</v>
      </c>
      <c r="P40" s="63">
        <f>SUM(P41:P42)</f>
        <v>1000</v>
      </c>
      <c r="Q40" s="84" t="s">
        <v>40</v>
      </c>
      <c r="R40" s="65">
        <f>SUM(R41:R42)</f>
        <v>372000</v>
      </c>
      <c r="S40" s="63">
        <f>SUM(S41:S42)</f>
        <v>541</v>
      </c>
      <c r="T40" s="84" t="s">
        <v>40</v>
      </c>
      <c r="U40" s="65">
        <f>SUM(U41:U42)</f>
        <v>201252</v>
      </c>
      <c r="V40" s="110"/>
      <c r="W40" s="111"/>
      <c r="X40" s="112"/>
      <c r="Y40" s="112"/>
      <c r="Z40" s="112"/>
      <c r="AA40" s="112"/>
    </row>
    <row r="41" spans="2:28" x14ac:dyDescent="0.35">
      <c r="B41" s="60"/>
      <c r="C41" s="56" t="s">
        <v>108</v>
      </c>
      <c r="D41" s="71"/>
      <c r="E41" s="70">
        <v>38000</v>
      </c>
      <c r="F41" s="114">
        <f>E41*D41*12/1000</f>
        <v>0</v>
      </c>
      <c r="G41" s="71"/>
      <c r="H41" s="70">
        <v>38000</v>
      </c>
      <c r="I41" s="114">
        <f>H41*G41*12/1000</f>
        <v>0</v>
      </c>
      <c r="J41" s="67">
        <v>0</v>
      </c>
      <c r="K41" s="70">
        <v>38000</v>
      </c>
      <c r="L41" s="114">
        <f>K41*J41*12/1000</f>
        <v>0</v>
      </c>
      <c r="M41" s="71">
        <v>0</v>
      </c>
      <c r="N41" s="70">
        <v>38000</v>
      </c>
      <c r="O41" s="114">
        <f>N41*M41*12/1000</f>
        <v>0</v>
      </c>
      <c r="P41" s="71">
        <v>0</v>
      </c>
      <c r="Q41" s="70">
        <v>38000</v>
      </c>
      <c r="R41" s="114">
        <f>Q41*P41*12/1000</f>
        <v>0</v>
      </c>
      <c r="S41" s="71">
        <v>0</v>
      </c>
      <c r="T41" s="70">
        <v>38000</v>
      </c>
      <c r="U41" s="114">
        <f>T41*S41*12/1000</f>
        <v>0</v>
      </c>
      <c r="V41" s="110"/>
      <c r="W41" s="111"/>
      <c r="X41" s="109"/>
      <c r="Y41" s="109"/>
      <c r="Z41" s="109"/>
      <c r="AA41" s="109"/>
    </row>
    <row r="42" spans="2:28" x14ac:dyDescent="0.35">
      <c r="B42" s="60"/>
      <c r="C42" s="56" t="s">
        <v>109</v>
      </c>
      <c r="D42" s="71">
        <v>851</v>
      </c>
      <c r="E42" s="70">
        <v>31000</v>
      </c>
      <c r="F42" s="114">
        <f>E42*D42*12/1000</f>
        <v>316572</v>
      </c>
      <c r="G42" s="71">
        <v>856</v>
      </c>
      <c r="H42" s="70">
        <v>31000</v>
      </c>
      <c r="I42" s="114">
        <f>H42*G42*12/1000</f>
        <v>318432</v>
      </c>
      <c r="J42" s="64">
        <v>641</v>
      </c>
      <c r="K42" s="70">
        <v>31000</v>
      </c>
      <c r="L42" s="114">
        <f>K42*J42*12/1000</f>
        <v>238452</v>
      </c>
      <c r="M42" s="71">
        <v>1000</v>
      </c>
      <c r="N42" s="70">
        <v>31000</v>
      </c>
      <c r="O42" s="114">
        <f>N42*M42*12/1000</f>
        <v>372000</v>
      </c>
      <c r="P42" s="71">
        <v>1000</v>
      </c>
      <c r="Q42" s="70">
        <v>31000</v>
      </c>
      <c r="R42" s="114">
        <f>Q42*P42*12/1000</f>
        <v>372000</v>
      </c>
      <c r="S42" s="71">
        <v>541</v>
      </c>
      <c r="T42" s="70">
        <v>31000</v>
      </c>
      <c r="U42" s="114">
        <f>T42*S42*12/1000</f>
        <v>201252</v>
      </c>
      <c r="V42" s="110"/>
      <c r="W42" s="111"/>
      <c r="X42" s="109">
        <v>31000</v>
      </c>
      <c r="Y42" s="109" t="s">
        <v>138</v>
      </c>
      <c r="Z42" s="109" t="s">
        <v>183</v>
      </c>
      <c r="AA42" s="109">
        <v>641</v>
      </c>
    </row>
    <row r="43" spans="2:28" s="113" customFormat="1" ht="34.200000000000003" x14ac:dyDescent="0.35">
      <c r="B43" s="59" t="s">
        <v>139</v>
      </c>
      <c r="C43" s="54" t="s">
        <v>110</v>
      </c>
      <c r="D43" s="62">
        <v>1343</v>
      </c>
      <c r="E43" s="117">
        <v>5000</v>
      </c>
      <c r="F43" s="118">
        <f>E43*D43*12/1000</f>
        <v>80580</v>
      </c>
      <c r="G43" s="62">
        <f>925-41</f>
        <v>884</v>
      </c>
      <c r="H43" s="117">
        <v>5000</v>
      </c>
      <c r="I43" s="62">
        <f>H43*G43*12/1000</f>
        <v>53040</v>
      </c>
      <c r="J43" s="62">
        <v>1286</v>
      </c>
      <c r="K43" s="117">
        <v>5000</v>
      </c>
      <c r="L43" s="118">
        <f>K43*J43*12/1000</f>
        <v>77160</v>
      </c>
      <c r="M43" s="62">
        <v>870</v>
      </c>
      <c r="N43" s="117">
        <v>5000</v>
      </c>
      <c r="O43" s="118">
        <f>N43*M43*12/1000</f>
        <v>52200</v>
      </c>
      <c r="P43" s="62">
        <v>870</v>
      </c>
      <c r="Q43" s="117">
        <v>5000</v>
      </c>
      <c r="R43" s="118">
        <f>Q43*P43*12/1000</f>
        <v>52200</v>
      </c>
      <c r="S43" s="62">
        <v>1286</v>
      </c>
      <c r="T43" s="117">
        <v>5000</v>
      </c>
      <c r="U43" s="118">
        <f>T43*S43*12/1000</f>
        <v>77160</v>
      </c>
      <c r="V43" s="110"/>
      <c r="W43" s="111"/>
      <c r="X43" s="112">
        <v>5000</v>
      </c>
      <c r="Y43" s="109" t="s">
        <v>139</v>
      </c>
      <c r="Z43" s="109" t="s">
        <v>184</v>
      </c>
      <c r="AA43" s="109">
        <v>1286</v>
      </c>
    </row>
    <row r="44" spans="2:28" s="113" customFormat="1" ht="57" x14ac:dyDescent="0.35">
      <c r="B44" s="59" t="s">
        <v>140</v>
      </c>
      <c r="C44" s="54" t="s">
        <v>111</v>
      </c>
      <c r="D44" s="62">
        <v>7388</v>
      </c>
      <c r="E44" s="117" t="s">
        <v>40</v>
      </c>
      <c r="F44" s="62">
        <f>+F45+F48+F49</f>
        <v>2652264</v>
      </c>
      <c r="G44" s="62">
        <f>+G45+G48+G49</f>
        <v>7041</v>
      </c>
      <c r="H44" s="117" t="s">
        <v>40</v>
      </c>
      <c r="I44" s="62">
        <f>+I45+I48+I49</f>
        <v>2544240</v>
      </c>
      <c r="J44" s="62">
        <f>+J45+J48+J49</f>
        <v>7068</v>
      </c>
      <c r="K44" s="117" t="s">
        <v>40</v>
      </c>
      <c r="L44" s="62">
        <f>+L45+L48+L49</f>
        <v>2537808</v>
      </c>
      <c r="M44" s="62">
        <f>+M45+M48+M49</f>
        <v>7465</v>
      </c>
      <c r="N44" s="117" t="s">
        <v>40</v>
      </c>
      <c r="O44" s="62">
        <f>+O45+O48+O49</f>
        <v>2705520</v>
      </c>
      <c r="P44" s="62">
        <f>+P45+P48+P49</f>
        <v>7465</v>
      </c>
      <c r="Q44" s="117" t="s">
        <v>40</v>
      </c>
      <c r="R44" s="62">
        <f>+R45+R48+R49</f>
        <v>2705520</v>
      </c>
      <c r="S44" s="62">
        <f>+S45+S48+S49</f>
        <v>7005</v>
      </c>
      <c r="T44" s="117" t="s">
        <v>40</v>
      </c>
      <c r="U44" s="62">
        <f>+U45+U48+U49</f>
        <v>2531112</v>
      </c>
      <c r="V44" s="110"/>
      <c r="W44" s="111"/>
      <c r="X44" s="109"/>
      <c r="Y44" s="109" t="s">
        <v>140</v>
      </c>
      <c r="Z44" s="109" t="s">
        <v>185</v>
      </c>
      <c r="AA44" s="109">
        <v>7323</v>
      </c>
    </row>
    <row r="45" spans="2:28" s="113" customFormat="1" ht="22.8" x14ac:dyDescent="0.35">
      <c r="B45" s="60" t="s">
        <v>141</v>
      </c>
      <c r="C45" s="55" t="s">
        <v>112</v>
      </c>
      <c r="D45" s="63">
        <f>+D46</f>
        <v>7003</v>
      </c>
      <c r="E45" s="84" t="s">
        <v>40</v>
      </c>
      <c r="F45" s="116">
        <f>+F46+F47</f>
        <v>2614920</v>
      </c>
      <c r="G45" s="63">
        <f>+G46</f>
        <v>6715</v>
      </c>
      <c r="H45" s="84" t="s">
        <v>40</v>
      </c>
      <c r="I45" s="116">
        <f>+I46+I47</f>
        <v>2514120</v>
      </c>
      <c r="J45" s="63">
        <f>+J46</f>
        <v>6725</v>
      </c>
      <c r="K45" s="84" t="s">
        <v>40</v>
      </c>
      <c r="L45" s="116">
        <f>+L46+L47</f>
        <v>2503560</v>
      </c>
      <c r="M45" s="63">
        <f>+M46</f>
        <v>7165</v>
      </c>
      <c r="N45" s="84" t="s">
        <v>40</v>
      </c>
      <c r="O45" s="116">
        <f>+O46+O47</f>
        <v>2677800</v>
      </c>
      <c r="P45" s="63">
        <f>+P46</f>
        <v>7165</v>
      </c>
      <c r="Q45" s="84" t="s">
        <v>40</v>
      </c>
      <c r="R45" s="116">
        <f>+R46+R47</f>
        <v>2677800</v>
      </c>
      <c r="S45" s="63">
        <f>+S46</f>
        <v>6725</v>
      </c>
      <c r="T45" s="84" t="s">
        <v>40</v>
      </c>
      <c r="U45" s="116">
        <f>+U46+U47</f>
        <v>2503560</v>
      </c>
      <c r="V45" s="110"/>
      <c r="W45" s="111"/>
      <c r="X45" s="112"/>
      <c r="Y45" s="112"/>
      <c r="Z45" s="112"/>
      <c r="AA45" s="112"/>
    </row>
    <row r="46" spans="2:28" x14ac:dyDescent="0.35">
      <c r="B46" s="60"/>
      <c r="C46" s="56" t="s">
        <v>113</v>
      </c>
      <c r="D46" s="71">
        <v>7003</v>
      </c>
      <c r="E46" s="70">
        <v>30000</v>
      </c>
      <c r="F46" s="114">
        <f>E46*D46*12/1000</f>
        <v>2521080</v>
      </c>
      <c r="G46" s="71">
        <f>6695+20</f>
        <v>6715</v>
      </c>
      <c r="H46" s="70">
        <v>30000</v>
      </c>
      <c r="I46" s="114">
        <f>H46*G46*12/1000</f>
        <v>2417400</v>
      </c>
      <c r="J46" s="64">
        <v>6725</v>
      </c>
      <c r="K46" s="70">
        <v>30000</v>
      </c>
      <c r="L46" s="114">
        <f>K46*J46*12/1000</f>
        <v>2421000</v>
      </c>
      <c r="M46" s="71">
        <v>7165</v>
      </c>
      <c r="N46" s="70">
        <v>30000</v>
      </c>
      <c r="O46" s="114">
        <f>N46*M46*12/1000</f>
        <v>2579400</v>
      </c>
      <c r="P46" s="71">
        <v>7165</v>
      </c>
      <c r="Q46" s="70">
        <v>30000</v>
      </c>
      <c r="R46" s="114">
        <f>Q46*P46*12/1000</f>
        <v>2579400</v>
      </c>
      <c r="S46" s="71">
        <v>6725</v>
      </c>
      <c r="T46" s="70">
        <v>30000</v>
      </c>
      <c r="U46" s="114">
        <f>T46*S46*12/1000</f>
        <v>2421000</v>
      </c>
      <c r="V46" s="110"/>
      <c r="W46" s="111"/>
      <c r="X46" s="119">
        <v>30000</v>
      </c>
      <c r="Y46" s="119" t="s">
        <v>141</v>
      </c>
      <c r="Z46" s="119" t="s">
        <v>186</v>
      </c>
      <c r="AA46" s="119">
        <v>6980</v>
      </c>
    </row>
    <row r="47" spans="2:28" ht="21.6" x14ac:dyDescent="0.35">
      <c r="B47" s="60"/>
      <c r="C47" s="56" t="s">
        <v>114</v>
      </c>
      <c r="D47" s="71">
        <v>391</v>
      </c>
      <c r="E47" s="70">
        <v>20000</v>
      </c>
      <c r="F47" s="114">
        <f>E47*D47*12/1000</f>
        <v>93840</v>
      </c>
      <c r="G47" s="71">
        <v>403</v>
      </c>
      <c r="H47" s="70">
        <v>20000</v>
      </c>
      <c r="I47" s="114">
        <f>H47*G47*12/1000</f>
        <v>96720</v>
      </c>
      <c r="J47" s="64">
        <v>344</v>
      </c>
      <c r="K47" s="70">
        <v>20000</v>
      </c>
      <c r="L47" s="114">
        <f>K47*J47*12/1000</f>
        <v>82560</v>
      </c>
      <c r="M47" s="71">
        <v>410</v>
      </c>
      <c r="N47" s="70">
        <v>20000</v>
      </c>
      <c r="O47" s="114">
        <f>N47*M47*12/1000</f>
        <v>98400</v>
      </c>
      <c r="P47" s="71">
        <v>410</v>
      </c>
      <c r="Q47" s="70">
        <v>20000</v>
      </c>
      <c r="R47" s="114">
        <f>Q47*P47*12/1000</f>
        <v>98400</v>
      </c>
      <c r="S47" s="71">
        <f>+J47</f>
        <v>344</v>
      </c>
      <c r="T47" s="70">
        <v>20000</v>
      </c>
      <c r="U47" s="114">
        <f>T47*S47*12/1000</f>
        <v>82560</v>
      </c>
      <c r="V47" s="110"/>
      <c r="W47" s="111"/>
      <c r="X47" s="120">
        <v>20000</v>
      </c>
      <c r="Y47" s="120"/>
      <c r="Z47" s="120" t="s">
        <v>187</v>
      </c>
      <c r="AA47" s="120">
        <v>344</v>
      </c>
    </row>
    <row r="48" spans="2:28" s="113" customFormat="1" ht="57" x14ac:dyDescent="0.35">
      <c r="B48" s="60" t="s">
        <v>142</v>
      </c>
      <c r="C48" s="55" t="s">
        <v>115</v>
      </c>
      <c r="D48" s="63">
        <v>246</v>
      </c>
      <c r="E48" s="84">
        <v>7000</v>
      </c>
      <c r="F48" s="116">
        <f>E48*D48*12/1000</f>
        <v>20664</v>
      </c>
      <c r="G48" s="63">
        <v>250</v>
      </c>
      <c r="H48" s="84">
        <v>7000</v>
      </c>
      <c r="I48" s="116">
        <f>H48*G48*12/1000</f>
        <v>21000</v>
      </c>
      <c r="J48" s="65">
        <v>192</v>
      </c>
      <c r="K48" s="84">
        <v>7000</v>
      </c>
      <c r="L48" s="116">
        <f>K48*J48*12/1000</f>
        <v>16128</v>
      </c>
      <c r="M48" s="63">
        <v>230</v>
      </c>
      <c r="N48" s="84">
        <v>7000</v>
      </c>
      <c r="O48" s="116">
        <f>N48*M48*12/1000</f>
        <v>19320</v>
      </c>
      <c r="P48" s="63">
        <v>230</v>
      </c>
      <c r="Q48" s="84">
        <v>7000</v>
      </c>
      <c r="R48" s="116">
        <f>Q48*P48*12/1000</f>
        <v>19320</v>
      </c>
      <c r="S48" s="63">
        <v>168</v>
      </c>
      <c r="T48" s="84">
        <v>7000</v>
      </c>
      <c r="U48" s="116">
        <f>T48*S48*12/1000</f>
        <v>14112</v>
      </c>
      <c r="V48" s="110"/>
      <c r="W48" s="111"/>
      <c r="X48" s="120">
        <v>7000</v>
      </c>
      <c r="Y48" s="120" t="s">
        <v>142</v>
      </c>
      <c r="Z48" s="120" t="s">
        <v>188</v>
      </c>
      <c r="AA48" s="120">
        <v>192</v>
      </c>
    </row>
    <row r="49" spans="2:27" s="113" customFormat="1" ht="22.8" x14ac:dyDescent="0.35">
      <c r="B49" s="60" t="s">
        <v>143</v>
      </c>
      <c r="C49" s="55" t="s">
        <v>116</v>
      </c>
      <c r="D49" s="63">
        <v>139</v>
      </c>
      <c r="E49" s="84">
        <v>10000</v>
      </c>
      <c r="F49" s="116">
        <f>E49*D49*12/1000</f>
        <v>16680</v>
      </c>
      <c r="G49" s="63">
        <v>76</v>
      </c>
      <c r="H49" s="84">
        <v>10000</v>
      </c>
      <c r="I49" s="116">
        <f>H49*G49*12/1000</f>
        <v>9120</v>
      </c>
      <c r="J49" s="65">
        <v>151</v>
      </c>
      <c r="K49" s="84">
        <v>10000</v>
      </c>
      <c r="L49" s="116">
        <f>K49*J49*12/1000</f>
        <v>18120</v>
      </c>
      <c r="M49" s="63">
        <v>70</v>
      </c>
      <c r="N49" s="84">
        <v>10000</v>
      </c>
      <c r="O49" s="116">
        <f>N49*M49*12/1000</f>
        <v>8400</v>
      </c>
      <c r="P49" s="63">
        <v>70</v>
      </c>
      <c r="Q49" s="84">
        <v>10000</v>
      </c>
      <c r="R49" s="116">
        <f>Q49*P49*12/1000</f>
        <v>8400</v>
      </c>
      <c r="S49" s="63">
        <v>112</v>
      </c>
      <c r="T49" s="84">
        <v>10000</v>
      </c>
      <c r="U49" s="116">
        <f>T49*S49*12/1000</f>
        <v>13440</v>
      </c>
      <c r="V49" s="110"/>
      <c r="W49" s="111"/>
      <c r="X49" s="120">
        <v>10000</v>
      </c>
      <c r="Y49" s="120" t="s">
        <v>143</v>
      </c>
      <c r="Z49" s="120" t="s">
        <v>116</v>
      </c>
      <c r="AA49" s="120">
        <v>151</v>
      </c>
    </row>
    <row r="50" spans="2:27" s="113" customFormat="1" x14ac:dyDescent="0.35">
      <c r="B50" s="59" t="s">
        <v>144</v>
      </c>
      <c r="C50" s="54" t="s">
        <v>117</v>
      </c>
      <c r="D50" s="68">
        <f>SUM(D51:D53)</f>
        <v>102.3545</v>
      </c>
      <c r="E50" s="117" t="s">
        <v>40</v>
      </c>
      <c r="F50" s="68">
        <f>SUM(F51:F53)</f>
        <v>160838.1</v>
      </c>
      <c r="G50" s="68">
        <f>SUM(G51:G53)</f>
        <v>124</v>
      </c>
      <c r="H50" s="117" t="s">
        <v>40</v>
      </c>
      <c r="I50" s="68">
        <f>SUM(I51:I53)+5662</f>
        <v>205462</v>
      </c>
      <c r="J50" s="68">
        <f>SUM(J51:J53)</f>
        <v>146</v>
      </c>
      <c r="K50" s="117" t="s">
        <v>40</v>
      </c>
      <c r="L50" s="68">
        <f>SUM(L51:L53)</f>
        <v>233400</v>
      </c>
      <c r="M50" s="68">
        <f>SUM(M51:M53)</f>
        <v>157</v>
      </c>
      <c r="N50" s="117" t="s">
        <v>40</v>
      </c>
      <c r="O50" s="68">
        <f>SUM(O51:O53)+4900</f>
        <v>254500</v>
      </c>
      <c r="P50" s="68">
        <f>SUM(P51:P53)</f>
        <v>157</v>
      </c>
      <c r="Q50" s="117" t="s">
        <v>40</v>
      </c>
      <c r="R50" s="68">
        <f>SUM(R51:R53)+4900</f>
        <v>254500</v>
      </c>
      <c r="S50" s="68">
        <f>SUM(S51:S53)</f>
        <v>151</v>
      </c>
      <c r="T50" s="117" t="s">
        <v>40</v>
      </c>
      <c r="U50" s="68">
        <f>SUM(U51:U53)</f>
        <v>242400</v>
      </c>
      <c r="V50" s="110"/>
      <c r="W50" s="112"/>
      <c r="X50" s="120"/>
      <c r="Y50" s="120"/>
      <c r="Z50" s="120"/>
      <c r="AA50" s="120"/>
    </row>
    <row r="51" spans="2:27" ht="32.4" x14ac:dyDescent="0.35">
      <c r="B51" s="61" t="s">
        <v>145</v>
      </c>
      <c r="C51" s="56" t="s">
        <v>118</v>
      </c>
      <c r="D51" s="71">
        <v>6</v>
      </c>
      <c r="E51" s="70">
        <v>250000</v>
      </c>
      <c r="F51" s="114">
        <f>E51*D51*12/1000</f>
        <v>18000</v>
      </c>
      <c r="G51" s="71">
        <v>8</v>
      </c>
      <c r="H51" s="70">
        <v>250000</v>
      </c>
      <c r="I51" s="114">
        <f>H51*G51*12/1000</f>
        <v>24000</v>
      </c>
      <c r="J51" s="64">
        <v>8</v>
      </c>
      <c r="K51" s="70">
        <v>250000</v>
      </c>
      <c r="L51" s="114">
        <f>K51*J51*12/1000</f>
        <v>24000</v>
      </c>
      <c r="M51" s="71">
        <v>8</v>
      </c>
      <c r="N51" s="70">
        <v>250000</v>
      </c>
      <c r="O51" s="114">
        <f t="shared" ref="O51:O53" si="9">N51*M51*12/1000</f>
        <v>24000</v>
      </c>
      <c r="P51" s="71">
        <v>8</v>
      </c>
      <c r="Q51" s="70">
        <v>250000</v>
      </c>
      <c r="R51" s="114">
        <f t="shared" ref="R51:R53" si="10">Q51*P51*12/1000</f>
        <v>24000</v>
      </c>
      <c r="S51" s="71">
        <v>9</v>
      </c>
      <c r="T51" s="70">
        <v>250000</v>
      </c>
      <c r="U51" s="114">
        <f t="shared" ref="U51:U53" si="11">T51*S51*12/1000</f>
        <v>27000</v>
      </c>
      <c r="V51" s="110"/>
      <c r="W51" s="109"/>
      <c r="X51" s="119"/>
      <c r="Y51" s="119"/>
      <c r="Z51" s="119"/>
      <c r="AA51" s="119"/>
    </row>
    <row r="52" spans="2:27" ht="32.4" x14ac:dyDescent="0.35">
      <c r="B52" s="61" t="s">
        <v>146</v>
      </c>
      <c r="C52" s="56" t="s">
        <v>119</v>
      </c>
      <c r="D52" s="71">
        <v>45.354500000000002</v>
      </c>
      <c r="E52" s="70">
        <v>150000</v>
      </c>
      <c r="F52" s="114">
        <f>E52*D52*12/1000</f>
        <v>81638.100000000006</v>
      </c>
      <c r="G52" s="71">
        <v>61</v>
      </c>
      <c r="H52" s="70">
        <v>150000</v>
      </c>
      <c r="I52" s="114">
        <f>H52*G52*12/1000</f>
        <v>109800</v>
      </c>
      <c r="J52" s="64">
        <v>73</v>
      </c>
      <c r="K52" s="70">
        <v>150000</v>
      </c>
      <c r="L52" s="114">
        <f>K52*J52*12/1000</f>
        <v>131400</v>
      </c>
      <c r="M52" s="71">
        <v>78</v>
      </c>
      <c r="N52" s="70">
        <v>150000</v>
      </c>
      <c r="O52" s="114">
        <f t="shared" si="9"/>
        <v>140400</v>
      </c>
      <c r="P52" s="71">
        <v>78</v>
      </c>
      <c r="Q52" s="70">
        <v>150000</v>
      </c>
      <c r="R52" s="114">
        <f t="shared" si="10"/>
        <v>140400</v>
      </c>
      <c r="S52" s="71">
        <v>75</v>
      </c>
      <c r="T52" s="70">
        <v>150000</v>
      </c>
      <c r="U52" s="114">
        <f t="shared" si="11"/>
        <v>135000</v>
      </c>
      <c r="V52" s="110"/>
      <c r="W52" s="109"/>
      <c r="X52" s="119"/>
      <c r="Y52" s="119"/>
      <c r="Z52" s="119"/>
      <c r="AA52" s="119"/>
    </row>
    <row r="53" spans="2:27" ht="32.4" x14ac:dyDescent="0.35">
      <c r="B53" s="61" t="s">
        <v>147</v>
      </c>
      <c r="C53" s="56" t="s">
        <v>120</v>
      </c>
      <c r="D53" s="71">
        <v>51</v>
      </c>
      <c r="E53" s="70">
        <v>100000</v>
      </c>
      <c r="F53" s="114">
        <f>E53*D53*12/1000</f>
        <v>61200</v>
      </c>
      <c r="G53" s="71">
        <v>55</v>
      </c>
      <c r="H53" s="70">
        <v>100000</v>
      </c>
      <c r="I53" s="114">
        <f>H53*G53*12/1000</f>
        <v>66000</v>
      </c>
      <c r="J53" s="64">
        <v>65</v>
      </c>
      <c r="K53" s="70">
        <v>100000</v>
      </c>
      <c r="L53" s="114">
        <f>K53*J53*12/1000</f>
        <v>78000</v>
      </c>
      <c r="M53" s="71">
        <v>71</v>
      </c>
      <c r="N53" s="70">
        <v>100000</v>
      </c>
      <c r="O53" s="114">
        <f t="shared" si="9"/>
        <v>85200</v>
      </c>
      <c r="P53" s="71">
        <v>71</v>
      </c>
      <c r="Q53" s="70">
        <v>100000</v>
      </c>
      <c r="R53" s="114">
        <f t="shared" si="10"/>
        <v>85200</v>
      </c>
      <c r="S53" s="71">
        <v>67</v>
      </c>
      <c r="T53" s="70">
        <v>100000</v>
      </c>
      <c r="U53" s="114">
        <f t="shared" si="11"/>
        <v>80400</v>
      </c>
      <c r="V53" s="110"/>
      <c r="W53" s="109"/>
      <c r="X53" s="119"/>
      <c r="Y53" s="119"/>
      <c r="Z53" s="119"/>
      <c r="AA53" s="119"/>
    </row>
    <row r="54" spans="2:27" x14ac:dyDescent="0.35">
      <c r="B54" s="59">
        <v>7</v>
      </c>
      <c r="C54" s="54" t="s">
        <v>121</v>
      </c>
      <c r="D54" s="121"/>
      <c r="E54" s="122"/>
      <c r="F54" s="123">
        <v>271682.40000000002</v>
      </c>
      <c r="G54" s="121"/>
      <c r="H54" s="122"/>
      <c r="I54" s="123">
        <f>512953.619999999+5662</f>
        <v>518615.61999999901</v>
      </c>
      <c r="J54" s="69"/>
      <c r="K54" s="122"/>
      <c r="L54" s="123">
        <f>276636.5+5793</f>
        <v>282429.5</v>
      </c>
      <c r="M54" s="121"/>
      <c r="N54" s="122"/>
      <c r="O54" s="123"/>
      <c r="P54" s="121"/>
      <c r="Q54" s="122"/>
      <c r="R54" s="123"/>
      <c r="S54" s="121"/>
      <c r="T54" s="122"/>
      <c r="U54" s="123">
        <v>260000</v>
      </c>
      <c r="V54" s="110"/>
      <c r="W54" s="109"/>
      <c r="X54" s="109"/>
      <c r="Y54" s="109"/>
      <c r="Z54" s="109"/>
      <c r="AA54" s="109"/>
    </row>
    <row r="55" spans="2:27" s="113" customFormat="1" x14ac:dyDescent="0.35">
      <c r="B55" s="124"/>
      <c r="C55" s="125" t="s">
        <v>42</v>
      </c>
      <c r="D55" s="63">
        <f>+D8+D33+D36+D43+D44+D54</f>
        <v>34196</v>
      </c>
      <c r="E55" s="63">
        <f>(F55-F54)/D55/12*1000</f>
        <v>25152.707919054861</v>
      </c>
      <c r="F55" s="65">
        <f>+F8+F33+F36+F43+F44+F54</f>
        <v>10593146.4</v>
      </c>
      <c r="G55" s="63">
        <f>+G8+G33+G36+G43+G44+G54</f>
        <v>32855</v>
      </c>
      <c r="H55" s="63">
        <f>(I55-I54)/G55/12*1000</f>
        <v>25768.071830771572</v>
      </c>
      <c r="I55" s="65">
        <f>+I8+I33+I36+I43+I44+I54</f>
        <v>10677935.619999999</v>
      </c>
      <c r="J55" s="63">
        <f>+J8+J33+J36+J43+J44+J54+J50</f>
        <v>34388</v>
      </c>
      <c r="K55" s="63">
        <f>(L55-L54)/J55/12*1000</f>
        <v>25025.50308247063</v>
      </c>
      <c r="L55" s="126">
        <f>+L8+L33+L36+L43+L44+L54</f>
        <v>10609353.5</v>
      </c>
      <c r="M55" s="63">
        <f>+M8+M33+M36+M43+M44+M54</f>
        <v>34261</v>
      </c>
      <c r="N55" s="63">
        <f>O55/M55/12*1000</f>
        <v>25954.23367677534</v>
      </c>
      <c r="O55" s="63">
        <f>+O8+O33+O36+O43+O44+O54</f>
        <v>10670616</v>
      </c>
      <c r="P55" s="63">
        <f>+P8+P33+P36+P43+P44+P54</f>
        <v>34261</v>
      </c>
      <c r="Q55" s="63">
        <f>R55/P55/12*1000</f>
        <v>25954.23367677534</v>
      </c>
      <c r="R55" s="63">
        <f>+R8+R33+R36+R43+R44+R54</f>
        <v>10670616</v>
      </c>
      <c r="S55" s="63">
        <f>+S8+S33+S36+S43+S44+S54+S50</f>
        <v>34148</v>
      </c>
      <c r="T55" s="63">
        <f>U55/S55/12*1000</f>
        <v>26232.536800593494</v>
      </c>
      <c r="U55" s="63">
        <f>+U8+U33+U36+U43+U44+U54+U50</f>
        <v>10749464</v>
      </c>
      <c r="V55" s="110"/>
      <c r="W55" s="112"/>
      <c r="X55" s="119"/>
      <c r="Y55" s="119"/>
      <c r="Z55" s="119" t="s">
        <v>189</v>
      </c>
      <c r="AA55" s="119">
        <v>34426</v>
      </c>
    </row>
    <row r="56" spans="2:27" x14ac:dyDescent="0.35">
      <c r="F56" s="127"/>
      <c r="G56" s="115">
        <v>34223</v>
      </c>
      <c r="H56" s="127" t="s">
        <v>190</v>
      </c>
      <c r="I56" s="127"/>
      <c r="J56" s="88" t="s">
        <v>191</v>
      </c>
      <c r="L56" s="128">
        <v>322445.5</v>
      </c>
      <c r="M56" s="127"/>
      <c r="N56" s="127"/>
      <c r="O56" s="129"/>
      <c r="R56" s="130"/>
      <c r="U56" s="131"/>
      <c r="V56" s="110"/>
      <c r="AA56" s="115">
        <f>+S55-S50-AA55</f>
        <v>-429</v>
      </c>
    </row>
    <row r="57" spans="2:27" x14ac:dyDescent="0.35">
      <c r="D57" s="88"/>
      <c r="E57" s="132"/>
      <c r="F57" s="129"/>
      <c r="G57" s="133"/>
      <c r="I57" s="130"/>
      <c r="J57" s="132" t="s">
        <v>192</v>
      </c>
      <c r="L57" s="128">
        <f>+L55+L56</f>
        <v>10931799</v>
      </c>
      <c r="O57" s="129"/>
      <c r="P57" s="130"/>
      <c r="S57" s="130"/>
      <c r="V57" s="110"/>
    </row>
    <row r="58" spans="2:27" ht="22.8" x14ac:dyDescent="0.35">
      <c r="B58" s="134" t="s">
        <v>193</v>
      </c>
      <c r="C58" s="86" t="s">
        <v>194</v>
      </c>
      <c r="D58" s="132"/>
      <c r="G58" s="115"/>
      <c r="I58" s="131"/>
      <c r="J58" s="132" t="s">
        <v>195</v>
      </c>
      <c r="K58" s="115"/>
      <c r="L58" s="128">
        <v>10451</v>
      </c>
      <c r="O58" s="129"/>
      <c r="R58" s="131"/>
      <c r="U58" s="131"/>
      <c r="V58" s="110"/>
    </row>
    <row r="59" spans="2:27" ht="44.4" x14ac:dyDescent="0.35">
      <c r="B59" s="135" t="s">
        <v>196</v>
      </c>
      <c r="C59" s="86" t="s">
        <v>197</v>
      </c>
      <c r="F59" s="130"/>
      <c r="J59" s="132" t="s">
        <v>198</v>
      </c>
      <c r="K59" s="115"/>
      <c r="L59" s="128">
        <f>+L50+L58</f>
        <v>243851</v>
      </c>
      <c r="V59" s="110"/>
    </row>
    <row r="60" spans="2:27" x14ac:dyDescent="0.35">
      <c r="O60" s="130"/>
    </row>
    <row r="61" spans="2:27" x14ac:dyDescent="0.35">
      <c r="L61" s="115"/>
      <c r="O61" s="130"/>
    </row>
  </sheetData>
  <mergeCells count="6">
    <mergeCell ref="D5:F5"/>
    <mergeCell ref="G5:I5"/>
    <mergeCell ref="J5:L5"/>
    <mergeCell ref="M5:O5"/>
    <mergeCell ref="P5:R5"/>
    <mergeCell ref="S5:U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0"/>
  <sheetViews>
    <sheetView tabSelected="1" topLeftCell="D1" workbookViewId="0">
      <selection activeCell="K18" sqref="K18"/>
    </sheetView>
  </sheetViews>
  <sheetFormatPr defaultRowHeight="14.4" x14ac:dyDescent="0.3"/>
  <cols>
    <col min="1" max="1" width="4.88671875" customWidth="1"/>
    <col min="2" max="2" width="9.88671875" customWidth="1"/>
    <col min="3" max="3" width="11.33203125" customWidth="1"/>
    <col min="4" max="4" width="10" customWidth="1"/>
    <col min="5" max="5" width="14" customWidth="1"/>
    <col min="6" max="6" width="19.44140625" customWidth="1"/>
    <col min="7" max="7" width="14" customWidth="1"/>
    <col min="8" max="8" width="12.33203125" customWidth="1"/>
    <col min="9" max="9" width="12.44140625" customWidth="1"/>
    <col min="10" max="10" width="10.33203125" customWidth="1"/>
    <col min="11" max="11" width="9.33203125" bestFit="1" customWidth="1"/>
    <col min="12" max="12" width="9.109375" bestFit="1" customWidth="1"/>
    <col min="13" max="13" width="9.21875" bestFit="1" customWidth="1"/>
    <col min="14" max="14" width="9.33203125" bestFit="1" customWidth="1"/>
    <col min="15" max="15" width="9.109375" bestFit="1" customWidth="1"/>
    <col min="16" max="16" width="9.21875" bestFit="1" customWidth="1"/>
    <col min="17" max="18" width="5.44140625" bestFit="1" customWidth="1"/>
    <col min="19" max="19" width="5.5546875" bestFit="1" customWidth="1"/>
    <col min="20" max="20" width="9.33203125" bestFit="1" customWidth="1"/>
    <col min="21" max="21" width="9.109375" bestFit="1" customWidth="1"/>
    <col min="22" max="22" width="9.21875" bestFit="1" customWidth="1"/>
    <col min="23" max="23" width="9.77734375" bestFit="1" customWidth="1"/>
    <col min="24" max="24" width="12.109375" customWidth="1"/>
    <col min="25" max="25" width="16.5546875" customWidth="1"/>
  </cols>
  <sheetData>
    <row r="1" spans="1:25" ht="19.2" x14ac:dyDescent="0.3">
      <c r="A1" s="1" t="s">
        <v>45</v>
      </c>
      <c r="B1" s="1"/>
      <c r="C1" s="1"/>
      <c r="D1" s="1"/>
      <c r="E1" s="1"/>
      <c r="F1" s="1"/>
      <c r="G1" s="1"/>
      <c r="H1" s="1"/>
      <c r="I1" s="1"/>
      <c r="J1" s="1"/>
      <c r="K1" s="1"/>
      <c r="L1" s="1"/>
      <c r="M1" s="1"/>
      <c r="N1" s="1"/>
      <c r="O1" s="1"/>
      <c r="P1" s="1"/>
      <c r="Q1" s="1"/>
      <c r="R1" s="1"/>
      <c r="S1" s="1"/>
      <c r="T1" s="1"/>
      <c r="U1" s="1"/>
    </row>
    <row r="2" spans="1:25" ht="17.25" x14ac:dyDescent="0.25">
      <c r="A2" s="8"/>
      <c r="B2" s="8"/>
      <c r="C2" s="8"/>
      <c r="D2" s="8"/>
      <c r="E2" s="8"/>
      <c r="F2" s="8"/>
      <c r="G2" s="8"/>
      <c r="H2" s="8"/>
      <c r="I2" s="8"/>
      <c r="J2" s="8"/>
      <c r="K2" s="8"/>
      <c r="L2" s="8"/>
      <c r="M2" s="8"/>
      <c r="N2" s="8"/>
      <c r="O2" s="8"/>
      <c r="P2" s="8"/>
      <c r="Q2" s="8"/>
      <c r="R2" s="8"/>
      <c r="S2" s="8"/>
      <c r="T2" s="8"/>
      <c r="U2" s="8"/>
    </row>
    <row r="3" spans="1:25" ht="18" x14ac:dyDescent="0.3">
      <c r="A3" s="1" t="s">
        <v>46</v>
      </c>
      <c r="B3" s="8"/>
      <c r="C3" s="8"/>
      <c r="D3" s="8"/>
      <c r="E3" s="8"/>
      <c r="F3" s="8"/>
      <c r="G3" s="8"/>
      <c r="H3" s="8"/>
      <c r="I3" s="8"/>
      <c r="J3" s="8"/>
      <c r="K3" s="8"/>
      <c r="L3" s="8"/>
      <c r="M3" s="8"/>
      <c r="N3" s="8"/>
      <c r="O3" s="8"/>
      <c r="P3" s="8"/>
      <c r="Q3" s="8"/>
      <c r="R3" s="8"/>
      <c r="S3" s="8"/>
      <c r="T3" s="8"/>
      <c r="U3" s="8"/>
    </row>
    <row r="4" spans="1:25" ht="17.25" x14ac:dyDescent="0.25">
      <c r="A4" s="8"/>
      <c r="B4" s="8"/>
      <c r="C4" s="8"/>
      <c r="D4" s="8"/>
      <c r="E4" s="8"/>
      <c r="F4" s="8"/>
      <c r="G4" s="8"/>
      <c r="H4" s="8"/>
      <c r="I4" s="8"/>
      <c r="J4" s="8"/>
      <c r="K4" s="8"/>
      <c r="L4" s="8"/>
      <c r="M4" s="8"/>
      <c r="N4" s="8"/>
      <c r="O4" s="8"/>
      <c r="P4" s="8"/>
      <c r="Q4" s="8"/>
      <c r="R4" s="8"/>
      <c r="S4" s="8"/>
      <c r="T4" s="8"/>
      <c r="U4" s="8"/>
    </row>
    <row r="5" spans="1:25" ht="17.25" x14ac:dyDescent="0.25">
      <c r="A5" s="8"/>
      <c r="B5" s="8"/>
      <c r="C5" s="8"/>
      <c r="D5" s="8"/>
      <c r="E5" s="8"/>
      <c r="F5" s="8"/>
      <c r="G5" s="8"/>
      <c r="H5" s="8"/>
      <c r="I5" s="8"/>
      <c r="J5" s="8"/>
      <c r="K5" s="8"/>
      <c r="L5" s="8"/>
      <c r="M5" s="8"/>
      <c r="N5" s="8"/>
      <c r="O5" s="8"/>
      <c r="P5" s="8"/>
      <c r="Q5" s="8"/>
      <c r="R5" s="8"/>
      <c r="S5" s="8"/>
      <c r="T5" s="8"/>
      <c r="U5" s="8"/>
    </row>
    <row r="6" spans="1:25" ht="37.5" customHeight="1" x14ac:dyDescent="0.3">
      <c r="B6" s="45" t="s">
        <v>32</v>
      </c>
      <c r="C6" s="45"/>
      <c r="D6" s="44" t="s">
        <v>7</v>
      </c>
      <c r="E6" s="44"/>
      <c r="F6" s="44" t="s">
        <v>36</v>
      </c>
      <c r="G6" s="44"/>
      <c r="H6" s="44" t="s">
        <v>27</v>
      </c>
      <c r="I6" s="44"/>
      <c r="J6" s="44"/>
      <c r="K6" s="44" t="s">
        <v>28</v>
      </c>
      <c r="L6" s="44"/>
      <c r="M6" s="44"/>
      <c r="N6" s="46" t="s">
        <v>29</v>
      </c>
      <c r="O6" s="46"/>
      <c r="P6" s="46"/>
      <c r="Q6" s="44" t="s">
        <v>38</v>
      </c>
      <c r="R6" s="44"/>
      <c r="S6" s="44"/>
      <c r="T6" s="50" t="s">
        <v>33</v>
      </c>
      <c r="U6" s="50"/>
      <c r="V6" s="50"/>
      <c r="W6" s="44" t="s">
        <v>44</v>
      </c>
      <c r="X6" s="44" t="s">
        <v>43</v>
      </c>
      <c r="Y6" s="44" t="s">
        <v>34</v>
      </c>
    </row>
    <row r="7" spans="1:25" ht="25.5" customHeight="1" x14ac:dyDescent="0.3">
      <c r="B7" s="9" t="s">
        <v>5</v>
      </c>
      <c r="C7" s="9" t="s">
        <v>6</v>
      </c>
      <c r="D7" s="10" t="s">
        <v>35</v>
      </c>
      <c r="E7" s="9" t="s">
        <v>6</v>
      </c>
      <c r="F7" s="10" t="s">
        <v>4</v>
      </c>
      <c r="G7" s="10" t="s">
        <v>37</v>
      </c>
      <c r="H7" s="10" t="s">
        <v>0</v>
      </c>
      <c r="I7" s="10" t="s">
        <v>1</v>
      </c>
      <c r="J7" s="10" t="s">
        <v>3</v>
      </c>
      <c r="K7" s="10" t="s">
        <v>0</v>
      </c>
      <c r="L7" s="10" t="s">
        <v>1</v>
      </c>
      <c r="M7" s="10" t="s">
        <v>3</v>
      </c>
      <c r="N7" s="7" t="s">
        <v>12</v>
      </c>
      <c r="O7" s="7" t="s">
        <v>11</v>
      </c>
      <c r="P7" s="7" t="s">
        <v>10</v>
      </c>
      <c r="Q7" s="10" t="s">
        <v>0</v>
      </c>
      <c r="R7" s="10" t="s">
        <v>1</v>
      </c>
      <c r="S7" s="10" t="s">
        <v>3</v>
      </c>
      <c r="T7" s="17" t="s">
        <v>0</v>
      </c>
      <c r="U7" s="17" t="s">
        <v>1</v>
      </c>
      <c r="V7" s="17" t="s">
        <v>3</v>
      </c>
      <c r="W7" s="44"/>
      <c r="X7" s="44"/>
      <c r="Y7" s="44"/>
    </row>
    <row r="8" spans="1:25" ht="42.6" customHeight="1" x14ac:dyDescent="0.3">
      <c r="B8" s="14">
        <f>+B9</f>
        <v>1005</v>
      </c>
      <c r="C8" s="14">
        <v>12001</v>
      </c>
      <c r="D8" s="14" t="str">
        <f>+D9</f>
        <v xml:space="preserve"> Պարգևավճարներ և պատվովճարներ</v>
      </c>
      <c r="E8" s="14" t="str">
        <f>+պարգևավճար!C8</f>
        <v>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v>
      </c>
      <c r="F8" s="37">
        <f>+պարգևավճար!C29</f>
        <v>10609353.5</v>
      </c>
      <c r="G8" s="37">
        <f>+պարգևավճար!D29</f>
        <v>10670615.999999998</v>
      </c>
      <c r="H8" s="37">
        <f>+պարգևավճար!E29</f>
        <v>0</v>
      </c>
      <c r="I8" s="37">
        <f>+պարգևավճար!F29</f>
        <v>0</v>
      </c>
      <c r="J8" s="37">
        <f>+պարգևավճար!G29</f>
        <v>0</v>
      </c>
      <c r="K8" s="37">
        <f>+պարգևավճար!H29</f>
        <v>10749500</v>
      </c>
      <c r="L8" s="37">
        <f>+պարգևավճար!I29</f>
        <v>10749500</v>
      </c>
      <c r="M8" s="37">
        <f>+պարգևավճար!J29</f>
        <v>10749500</v>
      </c>
      <c r="N8" s="37">
        <f>+պարգևավճար!K29</f>
        <v>10749500</v>
      </c>
      <c r="O8" s="37">
        <f>+պարգևավճար!L29</f>
        <v>10749500</v>
      </c>
      <c r="P8" s="37">
        <f>+պարգևավճար!M29</f>
        <v>10749500</v>
      </c>
      <c r="Q8" s="37">
        <f>+պարգևավճար!N29</f>
        <v>0</v>
      </c>
      <c r="R8" s="37">
        <f>+պարգևավճար!O29</f>
        <v>0</v>
      </c>
      <c r="S8" s="37">
        <f>+պարգևավճար!P29</f>
        <v>0</v>
      </c>
      <c r="T8" s="37">
        <f>+պարգևավճար!Q29</f>
        <v>10749500</v>
      </c>
      <c r="U8" s="37">
        <f>+պարգևավճար!R29</f>
        <v>10749500</v>
      </c>
      <c r="V8" s="37">
        <f>+պարգևավճար!S29</f>
        <v>10749500</v>
      </c>
      <c r="W8" s="37">
        <f>+պարգևավճար!T29</f>
        <v>0</v>
      </c>
      <c r="X8" s="37">
        <f>+պարգևավճար!U29</f>
        <v>0</v>
      </c>
      <c r="Y8" s="37">
        <f>+պարգևավճար!V29</f>
        <v>0</v>
      </c>
    </row>
    <row r="9" spans="1:25" s="23" customFormat="1" ht="42.6" customHeight="1" x14ac:dyDescent="0.3">
      <c r="B9" s="14">
        <f>+պարգևավճար!C5</f>
        <v>1005</v>
      </c>
      <c r="C9" s="14">
        <v>12002</v>
      </c>
      <c r="D9" s="14" t="str">
        <f>+պարգևավճար!C6</f>
        <v xml:space="preserve"> Պարգևավճարներ և պատվովճարներ</v>
      </c>
      <c r="E9" s="14" t="str">
        <f>+պատվովճար!C8</f>
        <v>Վետերանների պատվովճար</v>
      </c>
      <c r="F9" s="37">
        <f>+պատվովճար!C29</f>
        <v>124859</v>
      </c>
      <c r="G9" s="37">
        <f>+պատվովճար!D29</f>
        <v>97200</v>
      </c>
      <c r="H9" s="37">
        <f>+պատվովճար!E29</f>
        <v>0</v>
      </c>
      <c r="I9" s="37">
        <f>+պատվովճար!F29</f>
        <v>0</v>
      </c>
      <c r="J9" s="37">
        <f>+պատվովճար!G29</f>
        <v>0</v>
      </c>
      <c r="K9" s="37">
        <f>+պատվովճար!H29</f>
        <v>73200</v>
      </c>
      <c r="L9" s="37">
        <f>+պատվովճար!I29</f>
        <v>61500</v>
      </c>
      <c r="M9" s="37">
        <f>+պատվովճար!J29</f>
        <v>31500</v>
      </c>
      <c r="N9" s="37">
        <f>+պատվովճար!K29</f>
        <v>73200</v>
      </c>
      <c r="O9" s="37">
        <f>+պատվովճար!L29</f>
        <v>61500</v>
      </c>
      <c r="P9" s="37">
        <f>+պատվովճար!M29</f>
        <v>31500</v>
      </c>
      <c r="Q9" s="37">
        <f>+պատվովճար!N29</f>
        <v>0</v>
      </c>
      <c r="R9" s="37">
        <f>+պատվովճար!O29</f>
        <v>0</v>
      </c>
      <c r="S9" s="37">
        <f>+պատվովճար!P29</f>
        <v>0</v>
      </c>
      <c r="T9" s="37">
        <f>+պատվովճար!Q29</f>
        <v>73200</v>
      </c>
      <c r="U9" s="37">
        <f>+պատվովճար!R29</f>
        <v>61500</v>
      </c>
      <c r="V9" s="37">
        <f>+պատվովճար!S29</f>
        <v>31500</v>
      </c>
      <c r="W9" s="37"/>
      <c r="X9" s="37"/>
      <c r="Y9" s="37"/>
    </row>
    <row r="10" spans="1:25" x14ac:dyDescent="0.3">
      <c r="B10" s="47" t="s">
        <v>42</v>
      </c>
      <c r="C10" s="48"/>
      <c r="D10" s="48"/>
      <c r="E10" s="49"/>
      <c r="F10" s="38">
        <f>SUM(F8:F9)</f>
        <v>10734212.5</v>
      </c>
      <c r="G10" s="38">
        <f>SUM(G8:G9)</f>
        <v>10767815.999999998</v>
      </c>
      <c r="H10" s="38">
        <f>SUM(H9:H9)</f>
        <v>0</v>
      </c>
      <c r="I10" s="38">
        <f>SUM(I9:I9)</f>
        <v>0</v>
      </c>
      <c r="J10" s="38">
        <f>SUM(J9:J9)</f>
        <v>0</v>
      </c>
      <c r="K10" s="38">
        <f t="shared" ref="K10:P10" si="0">SUM(K8:K9)</f>
        <v>10822700</v>
      </c>
      <c r="L10" s="38">
        <f t="shared" si="0"/>
        <v>10811000</v>
      </c>
      <c r="M10" s="38">
        <f t="shared" si="0"/>
        <v>10781000</v>
      </c>
      <c r="N10" s="38">
        <f t="shared" si="0"/>
        <v>10822700</v>
      </c>
      <c r="O10" s="38">
        <f t="shared" si="0"/>
        <v>10811000</v>
      </c>
      <c r="P10" s="38">
        <f t="shared" si="0"/>
        <v>10781000</v>
      </c>
      <c r="Q10" s="38">
        <f>SUM(Q9:Q9)</f>
        <v>0</v>
      </c>
      <c r="R10" s="38">
        <f>SUM(R9:R9)</f>
        <v>0</v>
      </c>
      <c r="S10" s="38">
        <f>SUM(S9:S9)</f>
        <v>0</v>
      </c>
      <c r="T10" s="39">
        <f>SUM(T8:T9)</f>
        <v>10822700</v>
      </c>
      <c r="U10" s="39">
        <f t="shared" ref="U10:V10" si="1">SUM(U8:U9)</f>
        <v>10811000</v>
      </c>
      <c r="V10" s="39">
        <f t="shared" si="1"/>
        <v>10781000</v>
      </c>
      <c r="W10" s="38">
        <f>SUM(W9:W9)</f>
        <v>0</v>
      </c>
      <c r="X10" s="15" t="s">
        <v>40</v>
      </c>
      <c r="Y10" s="15" t="s">
        <v>40</v>
      </c>
    </row>
  </sheetData>
  <mergeCells count="12">
    <mergeCell ref="Y6:Y7"/>
    <mergeCell ref="B6:C6"/>
    <mergeCell ref="D6:E6"/>
    <mergeCell ref="N6:P6"/>
    <mergeCell ref="B10:E10"/>
    <mergeCell ref="W6:W7"/>
    <mergeCell ref="X6:X7"/>
    <mergeCell ref="F6:G6"/>
    <mergeCell ref="H6:J6"/>
    <mergeCell ref="K6:M6"/>
    <mergeCell ref="Q6:S6"/>
    <mergeCell ref="T6:V6"/>
  </mergeCells>
  <pageMargins left="0.7" right="0.7" top="0.75" bottom="0.75" header="0.3" footer="0.3"/>
  <pageSetup paperSize="9" orientation="portrait"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topLeftCell="C18" workbookViewId="0">
      <selection activeCell="C19" sqref="A19:XFD21"/>
    </sheetView>
  </sheetViews>
  <sheetFormatPr defaultRowHeight="14.4" x14ac:dyDescent="0.3"/>
  <cols>
    <col min="1" max="1" width="8.88671875" style="25"/>
    <col min="2" max="3" width="27.109375" style="25" customWidth="1"/>
    <col min="4" max="4" width="29" style="25" customWidth="1"/>
    <col min="5" max="5" width="39.109375" style="25" customWidth="1"/>
    <col min="6" max="6" width="16" style="25" customWidth="1"/>
    <col min="7" max="7" width="13.33203125" style="25" customWidth="1"/>
    <col min="8" max="10" width="12.6640625" style="25" bestFit="1" customWidth="1"/>
    <col min="11" max="11" width="24.6640625" style="25" customWidth="1"/>
    <col min="12" max="12" width="10.6640625" style="25" bestFit="1" customWidth="1"/>
    <col min="13" max="13" width="10.88671875" style="25" bestFit="1" customWidth="1"/>
    <col min="14" max="14" width="5.77734375" style="25" bestFit="1" customWidth="1"/>
    <col min="15" max="16" width="5.88671875" style="25" bestFit="1" customWidth="1"/>
    <col min="17" max="17" width="11.109375" style="25" bestFit="1" customWidth="1"/>
    <col min="18" max="18" width="10.6640625" style="25" bestFit="1" customWidth="1"/>
    <col min="19" max="19" width="10.88671875" style="25" bestFit="1" customWidth="1"/>
    <col min="20" max="20" width="8.88671875" style="25"/>
    <col min="21" max="21" width="31.6640625" style="25" bestFit="1" customWidth="1"/>
    <col min="22" max="22" width="9.88671875" style="25" bestFit="1" customWidth="1"/>
    <col min="23" max="16384" width="8.88671875" style="25"/>
  </cols>
  <sheetData>
    <row r="1" spans="1:23" ht="16.2" x14ac:dyDescent="0.3">
      <c r="A1" s="1" t="s">
        <v>39</v>
      </c>
      <c r="C1" s="1"/>
      <c r="D1" s="1"/>
      <c r="E1" s="1"/>
      <c r="F1" s="1"/>
      <c r="G1" s="1"/>
      <c r="H1" s="1"/>
      <c r="I1" s="1"/>
      <c r="J1" s="1"/>
      <c r="U1" s="26" t="s">
        <v>13</v>
      </c>
      <c r="V1" s="26" t="s">
        <v>14</v>
      </c>
      <c r="W1" s="26" t="s">
        <v>15</v>
      </c>
    </row>
    <row r="2" spans="1:23" ht="15" x14ac:dyDescent="0.3">
      <c r="A2" s="3"/>
      <c r="C2" s="3"/>
      <c r="D2" s="3"/>
      <c r="E2" s="3"/>
      <c r="F2" s="3"/>
      <c r="G2" s="3"/>
      <c r="H2" s="3"/>
      <c r="I2" s="3"/>
      <c r="J2" s="3"/>
      <c r="U2" s="26" t="s">
        <v>16</v>
      </c>
      <c r="V2" s="26" t="s">
        <v>17</v>
      </c>
      <c r="W2" s="26"/>
    </row>
    <row r="3" spans="1:23" ht="15.75" customHeight="1" x14ac:dyDescent="0.3">
      <c r="A3" s="1" t="s">
        <v>18</v>
      </c>
      <c r="C3" s="27"/>
      <c r="D3" s="27"/>
      <c r="E3" s="27"/>
      <c r="F3" s="27"/>
      <c r="G3" s="3"/>
      <c r="H3" s="3"/>
      <c r="I3" s="3"/>
      <c r="J3" s="3"/>
      <c r="U3" s="26" t="s">
        <v>19</v>
      </c>
      <c r="V3" s="26" t="s">
        <v>20</v>
      </c>
      <c r="W3" s="26"/>
    </row>
    <row r="4" spans="1:23" ht="15.75" customHeight="1" x14ac:dyDescent="0.3">
      <c r="B4" s="28"/>
      <c r="C4" s="28"/>
      <c r="D4" s="28"/>
      <c r="E4" s="28"/>
      <c r="F4" s="28"/>
      <c r="G4" s="2"/>
      <c r="H4" s="2"/>
      <c r="I4" s="2"/>
      <c r="J4" s="2"/>
      <c r="U4" s="26" t="s">
        <v>21</v>
      </c>
      <c r="V4" s="26"/>
    </row>
    <row r="5" spans="1:23" ht="18.75" customHeight="1" x14ac:dyDescent="0.3">
      <c r="B5" s="16" t="s">
        <v>47</v>
      </c>
      <c r="C5" s="11">
        <v>1005</v>
      </c>
      <c r="E5" s="16" t="s">
        <v>51</v>
      </c>
      <c r="F5" s="11" t="s">
        <v>76</v>
      </c>
      <c r="H5" s="2"/>
      <c r="I5" s="2"/>
      <c r="J5" s="2"/>
    </row>
    <row r="6" spans="1:23" ht="27" x14ac:dyDescent="0.3">
      <c r="B6" s="16" t="s">
        <v>48</v>
      </c>
      <c r="C6" s="22" t="s">
        <v>79</v>
      </c>
      <c r="E6" s="16" t="s">
        <v>52</v>
      </c>
      <c r="F6" s="24" t="s">
        <v>71</v>
      </c>
      <c r="H6" s="2"/>
      <c r="I6" s="2"/>
      <c r="J6" s="2"/>
    </row>
    <row r="7" spans="1:23" ht="18" customHeight="1" x14ac:dyDescent="0.3">
      <c r="B7" s="16" t="s">
        <v>49</v>
      </c>
      <c r="C7" s="11">
        <v>12001</v>
      </c>
      <c r="H7" s="2"/>
      <c r="I7" s="2"/>
      <c r="J7" s="2"/>
    </row>
    <row r="8" spans="1:23" ht="118.8" x14ac:dyDescent="0.3">
      <c r="B8" s="16" t="s">
        <v>50</v>
      </c>
      <c r="C8" s="22" t="s">
        <v>77</v>
      </c>
      <c r="H8" s="2"/>
      <c r="I8" s="2"/>
      <c r="J8" s="2"/>
    </row>
    <row r="9" spans="1:23" ht="18" x14ac:dyDescent="0.3">
      <c r="B9" s="3"/>
      <c r="C9" s="3"/>
      <c r="D9" s="3"/>
      <c r="E9" s="3"/>
      <c r="F9" s="2"/>
      <c r="G9" s="2"/>
      <c r="H9" s="2"/>
      <c r="I9" s="2"/>
      <c r="J9" s="2"/>
    </row>
    <row r="10" spans="1:23" ht="15.75" customHeight="1" x14ac:dyDescent="0.3">
      <c r="A10" s="1" t="s">
        <v>22</v>
      </c>
      <c r="C10" s="2"/>
      <c r="D10" s="2"/>
      <c r="E10" s="2"/>
      <c r="F10" s="2"/>
      <c r="G10" s="2"/>
      <c r="H10" s="2"/>
      <c r="I10" s="2"/>
      <c r="J10" s="2"/>
    </row>
    <row r="11" spans="1:23" ht="18" x14ac:dyDescent="0.3">
      <c r="B11" s="2"/>
      <c r="C11" s="2"/>
      <c r="D11" s="2"/>
      <c r="E11" s="2"/>
      <c r="F11" s="2"/>
      <c r="G11" s="2"/>
      <c r="H11" s="2"/>
      <c r="I11" s="2"/>
      <c r="J11" s="2"/>
    </row>
    <row r="12" spans="1:23" ht="53.4" x14ac:dyDescent="0.3">
      <c r="B12" s="16" t="s">
        <v>53</v>
      </c>
      <c r="C12" s="29" t="s">
        <v>54</v>
      </c>
      <c r="D12" s="29" t="s">
        <v>55</v>
      </c>
      <c r="E12" s="29" t="s">
        <v>56</v>
      </c>
      <c r="F12" s="2"/>
      <c r="G12" s="2"/>
      <c r="H12" s="2"/>
      <c r="I12" s="2"/>
      <c r="J12" s="2"/>
    </row>
    <row r="13" spans="1:23" ht="264" x14ac:dyDescent="0.3">
      <c r="B13" s="30" t="s">
        <v>16</v>
      </c>
      <c r="C13" s="12" t="s">
        <v>81</v>
      </c>
      <c r="D13" s="12" t="s">
        <v>82</v>
      </c>
      <c r="E13" s="12" t="s">
        <v>200</v>
      </c>
      <c r="F13" s="28"/>
      <c r="G13" s="2"/>
      <c r="H13" s="2"/>
      <c r="I13" s="2"/>
      <c r="J13" s="28"/>
    </row>
    <row r="14" spans="1:23" ht="18" x14ac:dyDescent="0.3">
      <c r="B14" s="5"/>
      <c r="C14" s="5"/>
      <c r="D14" s="5"/>
      <c r="E14" s="5"/>
      <c r="F14" s="2"/>
      <c r="G14" s="2"/>
      <c r="H14" s="2"/>
      <c r="I14" s="2"/>
      <c r="J14" s="28"/>
    </row>
    <row r="15" spans="1:23" ht="18" x14ac:dyDescent="0.3">
      <c r="A15" s="1" t="s">
        <v>23</v>
      </c>
      <c r="C15" s="2"/>
      <c r="D15" s="2"/>
      <c r="E15" s="2"/>
      <c r="F15" s="2"/>
      <c r="G15" s="2"/>
      <c r="H15" s="2"/>
      <c r="I15" s="2"/>
      <c r="J15" s="28"/>
    </row>
    <row r="16" spans="1:23" ht="18" x14ac:dyDescent="0.3">
      <c r="B16" s="5"/>
      <c r="C16" s="2"/>
      <c r="D16" s="2"/>
      <c r="E16" s="2"/>
      <c r="F16" s="2"/>
      <c r="G16" s="2"/>
      <c r="H16" s="2"/>
      <c r="I16" s="2"/>
      <c r="J16" s="28"/>
    </row>
    <row r="17" spans="1:19" ht="28.2" customHeight="1" x14ac:dyDescent="0.3">
      <c r="B17" s="75" t="s">
        <v>57</v>
      </c>
      <c r="C17" s="75" t="s">
        <v>58</v>
      </c>
      <c r="D17" s="75" t="s">
        <v>59</v>
      </c>
      <c r="E17" s="75" t="s">
        <v>60</v>
      </c>
      <c r="F17" s="77" t="s">
        <v>61</v>
      </c>
      <c r="G17" s="78"/>
      <c r="H17" s="78"/>
      <c r="I17" s="78"/>
      <c r="J17" s="79"/>
      <c r="K17" s="75" t="s">
        <v>62</v>
      </c>
    </row>
    <row r="18" spans="1:19" ht="40.799999999999997" customHeight="1" x14ac:dyDescent="0.3">
      <c r="B18" s="76"/>
      <c r="C18" s="76"/>
      <c r="D18" s="76"/>
      <c r="E18" s="76"/>
      <c r="F18" s="42" t="s">
        <v>24</v>
      </c>
      <c r="G18" s="42" t="s">
        <v>25</v>
      </c>
      <c r="H18" s="42" t="s">
        <v>0</v>
      </c>
      <c r="I18" s="42" t="s">
        <v>1</v>
      </c>
      <c r="J18" s="42" t="s">
        <v>3</v>
      </c>
      <c r="K18" s="76"/>
    </row>
    <row r="19" spans="1:19" ht="26.4" x14ac:dyDescent="0.3">
      <c r="B19" s="12" t="s">
        <v>84</v>
      </c>
      <c r="C19" s="136" t="s">
        <v>148</v>
      </c>
      <c r="D19" s="30" t="s">
        <v>199</v>
      </c>
      <c r="E19" s="12" t="s">
        <v>202</v>
      </c>
      <c r="F19" s="31">
        <f>+'հաշվարկ պարգևավճար'!J55</f>
        <v>34388</v>
      </c>
      <c r="G19" s="31">
        <f>+'հաշվարկ պարգևավճար'!P55</f>
        <v>34261</v>
      </c>
      <c r="H19" s="31">
        <f>+'հաշվարկ պարգևավճար'!S55</f>
        <v>34148</v>
      </c>
      <c r="I19" s="31">
        <f>+H19:H19</f>
        <v>34148</v>
      </c>
      <c r="J19" s="31">
        <f>+I19:I19</f>
        <v>34148</v>
      </c>
      <c r="K19" s="31"/>
    </row>
    <row r="20" spans="1:19" ht="26.4" x14ac:dyDescent="0.3">
      <c r="B20" s="12" t="s">
        <v>201</v>
      </c>
      <c r="C20" s="136" t="s">
        <v>72</v>
      </c>
      <c r="D20" s="30" t="s">
        <v>199</v>
      </c>
      <c r="E20" s="12" t="s">
        <v>202</v>
      </c>
      <c r="F20" s="31">
        <f>+'հաշվարկ պարգևավճար'!K55</f>
        <v>25025.50308247063</v>
      </c>
      <c r="G20" s="31">
        <f>+'հաշվարկ պարգևավճար'!Q55</f>
        <v>25954.23367677534</v>
      </c>
      <c r="H20" s="31">
        <f>+'հաշվարկ պարգևավճար'!T55</f>
        <v>26232.536800593494</v>
      </c>
      <c r="I20" s="31">
        <f>+H20:H20</f>
        <v>26232.536800593494</v>
      </c>
      <c r="J20" s="31">
        <f>+I20:I20</f>
        <v>26232.536800593494</v>
      </c>
      <c r="K20" s="31"/>
    </row>
    <row r="21" spans="1:19" ht="105.6" x14ac:dyDescent="0.3">
      <c r="B21" s="83" t="s">
        <v>121</v>
      </c>
      <c r="C21" s="137" t="s">
        <v>73</v>
      </c>
      <c r="D21" s="30"/>
      <c r="E21" s="12"/>
      <c r="F21" s="31">
        <f>+'հաշվարկ պարգևավճար'!L54</f>
        <v>282429.5</v>
      </c>
      <c r="G21" s="31"/>
      <c r="H21" s="31"/>
      <c r="I21" s="31"/>
      <c r="J21" s="31"/>
      <c r="K21" s="138" t="s">
        <v>203</v>
      </c>
    </row>
    <row r="22" spans="1:19" x14ac:dyDescent="0.3">
      <c r="B22" s="13" t="s">
        <v>74</v>
      </c>
      <c r="C22" s="30" t="s">
        <v>73</v>
      </c>
      <c r="D22" s="30"/>
      <c r="E22" s="12"/>
      <c r="F22" s="31">
        <f>+F19*F20*0.012+F21</f>
        <v>10609353.5</v>
      </c>
      <c r="G22" s="31">
        <f t="shared" ref="G22:J22" si="0">+G19*G20*0.012</f>
        <v>10670615.999999998</v>
      </c>
      <c r="H22" s="31">
        <f>ROUND(H19*H20*0.012,-2)</f>
        <v>10749500</v>
      </c>
      <c r="I22" s="31">
        <f>+H22</f>
        <v>10749500</v>
      </c>
      <c r="J22" s="31">
        <f>+I22</f>
        <v>10749500</v>
      </c>
      <c r="K22" s="31"/>
    </row>
    <row r="25" spans="1:19" ht="15" x14ac:dyDescent="0.3">
      <c r="A25" s="1" t="s">
        <v>26</v>
      </c>
    </row>
    <row r="27" spans="1:19" ht="54.75" customHeight="1" x14ac:dyDescent="0.3">
      <c r="B27" s="57" t="s">
        <v>63</v>
      </c>
      <c r="C27" s="43" t="s">
        <v>64</v>
      </c>
      <c r="D27" s="43" t="s">
        <v>65</v>
      </c>
      <c r="E27" s="72" t="s">
        <v>66</v>
      </c>
      <c r="F27" s="73"/>
      <c r="G27" s="74"/>
      <c r="H27" s="72" t="s">
        <v>67</v>
      </c>
      <c r="I27" s="73"/>
      <c r="J27" s="74"/>
      <c r="K27" s="72" t="s">
        <v>68</v>
      </c>
      <c r="L27" s="73"/>
      <c r="M27" s="74"/>
      <c r="N27" s="72" t="s">
        <v>69</v>
      </c>
      <c r="O27" s="73"/>
      <c r="P27" s="74"/>
      <c r="Q27" s="80" t="s">
        <v>70</v>
      </c>
      <c r="R27" s="81"/>
      <c r="S27" s="82"/>
    </row>
    <row r="28" spans="1:19" x14ac:dyDescent="0.3">
      <c r="B28" s="58"/>
      <c r="C28" s="43" t="s">
        <v>8</v>
      </c>
      <c r="D28" s="43" t="s">
        <v>9</v>
      </c>
      <c r="E28" s="40" t="s">
        <v>0</v>
      </c>
      <c r="F28" s="40" t="s">
        <v>1</v>
      </c>
      <c r="G28" s="40" t="s">
        <v>3</v>
      </c>
      <c r="H28" s="40" t="s">
        <v>0</v>
      </c>
      <c r="I28" s="40" t="s">
        <v>1</v>
      </c>
      <c r="J28" s="40" t="s">
        <v>3</v>
      </c>
      <c r="K28" s="40" t="s">
        <v>12</v>
      </c>
      <c r="L28" s="40" t="s">
        <v>11</v>
      </c>
      <c r="M28" s="40" t="s">
        <v>10</v>
      </c>
      <c r="N28" s="40" t="s">
        <v>12</v>
      </c>
      <c r="O28" s="40" t="s">
        <v>11</v>
      </c>
      <c r="P28" s="40" t="s">
        <v>10</v>
      </c>
      <c r="Q28" s="41" t="s">
        <v>0</v>
      </c>
      <c r="R28" s="41" t="s">
        <v>1</v>
      </c>
      <c r="S28" s="41" t="s">
        <v>3</v>
      </c>
    </row>
    <row r="29" spans="1:19" x14ac:dyDescent="0.3">
      <c r="B29" s="12" t="s">
        <v>75</v>
      </c>
      <c r="C29" s="32">
        <f>+F22</f>
        <v>10609353.5</v>
      </c>
      <c r="D29" s="32">
        <f>+G22</f>
        <v>10670615.999999998</v>
      </c>
      <c r="E29" s="32"/>
      <c r="F29" s="32"/>
      <c r="G29" s="32"/>
      <c r="H29" s="32">
        <f>+H22</f>
        <v>10749500</v>
      </c>
      <c r="I29" s="32">
        <f t="shared" ref="I29:J29" si="1">+I22</f>
        <v>10749500</v>
      </c>
      <c r="J29" s="32">
        <f t="shared" si="1"/>
        <v>10749500</v>
      </c>
      <c r="K29" s="34">
        <f>+H29</f>
        <v>10749500</v>
      </c>
      <c r="L29" s="34">
        <f t="shared" ref="L29:M29" si="2">+I29</f>
        <v>10749500</v>
      </c>
      <c r="M29" s="34">
        <f t="shared" si="2"/>
        <v>10749500</v>
      </c>
      <c r="N29" s="34"/>
      <c r="O29" s="34"/>
      <c r="P29" s="34"/>
      <c r="Q29" s="35">
        <f>+K29</f>
        <v>10749500</v>
      </c>
      <c r="R29" s="35">
        <f t="shared" ref="R29:S29" si="3">+L29</f>
        <v>10749500</v>
      </c>
      <c r="S29" s="35">
        <f t="shared" si="3"/>
        <v>10749500</v>
      </c>
    </row>
    <row r="30" spans="1:19" ht="40.200000000000003" x14ac:dyDescent="0.3">
      <c r="B30" s="6" t="s">
        <v>41</v>
      </c>
      <c r="C30" s="12"/>
      <c r="D30" s="12"/>
      <c r="E30" s="40">
        <f t="shared" ref="E30:J30" si="4">SUM(E29:E29)</f>
        <v>0</v>
      </c>
      <c r="F30" s="40">
        <f t="shared" si="4"/>
        <v>0</v>
      </c>
      <c r="G30" s="40">
        <f t="shared" si="4"/>
        <v>0</v>
      </c>
      <c r="H30" s="33">
        <f t="shared" si="4"/>
        <v>10749500</v>
      </c>
      <c r="I30" s="33">
        <f t="shared" si="4"/>
        <v>10749500</v>
      </c>
      <c r="J30" s="33">
        <f t="shared" si="4"/>
        <v>10749500</v>
      </c>
      <c r="K30" s="33">
        <f>C30+E30+H30</f>
        <v>10749500</v>
      </c>
      <c r="L30" s="33">
        <f>C30+F30+I30</f>
        <v>10749500</v>
      </c>
      <c r="M30" s="33">
        <f>C30+G30+J30</f>
        <v>10749500</v>
      </c>
      <c r="N30" s="43" t="s">
        <v>2</v>
      </c>
      <c r="O30" s="43" t="s">
        <v>2</v>
      </c>
      <c r="P30" s="43" t="s">
        <v>2</v>
      </c>
      <c r="Q30" s="41" t="s">
        <v>2</v>
      </c>
      <c r="R30" s="41" t="s">
        <v>2</v>
      </c>
      <c r="S30" s="41" t="s">
        <v>2</v>
      </c>
    </row>
    <row r="31" spans="1:19" ht="40.200000000000003" x14ac:dyDescent="0.3">
      <c r="B31" s="6" t="s">
        <v>30</v>
      </c>
      <c r="C31" s="12"/>
      <c r="D31" s="12"/>
      <c r="E31" s="40" t="s">
        <v>40</v>
      </c>
      <c r="F31" s="40" t="s">
        <v>40</v>
      </c>
      <c r="G31" s="40" t="s">
        <v>40</v>
      </c>
      <c r="H31" s="33" t="s">
        <v>40</v>
      </c>
      <c r="I31" s="33" t="s">
        <v>40</v>
      </c>
      <c r="J31" s="33" t="s">
        <v>40</v>
      </c>
      <c r="K31" s="33">
        <f>C31</f>
        <v>0</v>
      </c>
      <c r="L31" s="33">
        <f>C31</f>
        <v>0</v>
      </c>
      <c r="M31" s="33">
        <f>C31</f>
        <v>0</v>
      </c>
      <c r="N31" s="43" t="s">
        <v>2</v>
      </c>
      <c r="O31" s="43" t="s">
        <v>2</v>
      </c>
      <c r="P31" s="43" t="s">
        <v>2</v>
      </c>
      <c r="Q31" s="41" t="s">
        <v>2</v>
      </c>
      <c r="R31" s="41" t="s">
        <v>2</v>
      </c>
      <c r="S31" s="41" t="s">
        <v>2</v>
      </c>
    </row>
    <row r="32" spans="1:19" x14ac:dyDescent="0.3">
      <c r="B32" s="6" t="s">
        <v>31</v>
      </c>
      <c r="C32" s="33">
        <f>SUM(C29:C29)</f>
        <v>10609353.5</v>
      </c>
      <c r="D32" s="33">
        <f>SUM(D29:D29)</f>
        <v>10670615.999999998</v>
      </c>
      <c r="E32" s="40">
        <f>E30</f>
        <v>0</v>
      </c>
      <c r="F32" s="40">
        <f t="shared" ref="F32:J32" si="5">F30</f>
        <v>0</v>
      </c>
      <c r="G32" s="40">
        <f t="shared" si="5"/>
        <v>0</v>
      </c>
      <c r="H32" s="33">
        <f t="shared" si="5"/>
        <v>10749500</v>
      </c>
      <c r="I32" s="33">
        <f t="shared" si="5"/>
        <v>10749500</v>
      </c>
      <c r="J32" s="33">
        <f t="shared" si="5"/>
        <v>10749500</v>
      </c>
      <c r="K32" s="33">
        <f>K30+K31</f>
        <v>10749500</v>
      </c>
      <c r="L32" s="33">
        <f t="shared" ref="L32:M32" si="6">L30+L31</f>
        <v>10749500</v>
      </c>
      <c r="M32" s="33">
        <f t="shared" si="6"/>
        <v>10749500</v>
      </c>
      <c r="N32" s="43">
        <f>SUM(N29:N29)</f>
        <v>0</v>
      </c>
      <c r="O32" s="43">
        <f>SUM(O29:O29)</f>
        <v>0</v>
      </c>
      <c r="P32" s="43">
        <f>SUM(P29:P29)</f>
        <v>0</v>
      </c>
      <c r="Q32" s="36">
        <f>K32+N32</f>
        <v>10749500</v>
      </c>
      <c r="R32" s="36">
        <f>L32+O32</f>
        <v>10749500</v>
      </c>
      <c r="S32" s="36">
        <f>M32+P32</f>
        <v>10749500</v>
      </c>
    </row>
  </sheetData>
  <autoFilter ref="F1:F39"/>
  <mergeCells count="12">
    <mergeCell ref="Q27:S27"/>
    <mergeCell ref="B17:B18"/>
    <mergeCell ref="C17:C18"/>
    <mergeCell ref="D17:D18"/>
    <mergeCell ref="E17:E18"/>
    <mergeCell ref="F17:J17"/>
    <mergeCell ref="K17:K18"/>
    <mergeCell ref="B27:B28"/>
    <mergeCell ref="E27:G27"/>
    <mergeCell ref="H27:J27"/>
    <mergeCell ref="K27:M27"/>
    <mergeCell ref="N27:P27"/>
  </mergeCells>
  <dataValidations disablePrompts="1" count="3">
    <dataValidation type="list" allowBlank="1" showInputMessage="1" showErrorMessage="1" sqref="B13">
      <formula1>$U$2:$U$4</formula1>
    </dataValidation>
    <dataValidation type="custom" allowBlank="1" showInputMessage="1" showErrorMessage="1" sqref="N29:P29">
      <formula1>"-"</formula1>
    </dataValidation>
    <dataValidation type="list" allowBlank="1" showInputMessage="1" showErrorMessage="1" sqref="D22">
      <formula1>$V$2:$V$3</formula1>
    </dataValidation>
  </dataValidations>
  <hyperlinks>
    <hyperlink ref="C12" location="_ftn1" display="_ftn1"/>
    <hyperlink ref="D12" location="_ftn2" display="_ftn2"/>
    <hyperlink ref="E12" location="_ftn3" display="_ftn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topLeftCell="A13" workbookViewId="0">
      <selection activeCell="I29" sqref="I29"/>
    </sheetView>
  </sheetViews>
  <sheetFormatPr defaultRowHeight="14.4" x14ac:dyDescent="0.3"/>
  <cols>
    <col min="1" max="1" width="8.88671875" style="23"/>
    <col min="2" max="3" width="27.109375" style="23" customWidth="1"/>
    <col min="4" max="4" width="35.109375" style="23" customWidth="1"/>
    <col min="5" max="5" width="27.21875" style="23" customWidth="1"/>
    <col min="6" max="6" width="17" style="23" bestFit="1" customWidth="1"/>
    <col min="7" max="7" width="12.77734375" style="23" bestFit="1" customWidth="1"/>
    <col min="8" max="8" width="11" style="23" bestFit="1" customWidth="1"/>
    <col min="9" max="9" width="10.77734375" style="23" bestFit="1" customWidth="1"/>
    <col min="10" max="10" width="11" style="23" bestFit="1" customWidth="1"/>
    <col min="11" max="11" width="25.77734375" style="23" customWidth="1"/>
    <col min="12" max="12" width="10.6640625" style="23" bestFit="1" customWidth="1"/>
    <col min="13" max="13" width="10.88671875" style="23" bestFit="1" customWidth="1"/>
    <col min="14" max="14" width="5.77734375" style="23" bestFit="1" customWidth="1"/>
    <col min="15" max="16" width="5.88671875" style="23" bestFit="1" customWidth="1"/>
    <col min="17" max="17" width="11.109375" style="23" bestFit="1" customWidth="1"/>
    <col min="18" max="18" width="10.6640625" style="23" bestFit="1" customWidth="1"/>
    <col min="19" max="19" width="10.88671875" style="23" bestFit="1" customWidth="1"/>
    <col min="20" max="20" width="8.88671875" style="23"/>
    <col min="21" max="21" width="31.6640625" style="23" bestFit="1" customWidth="1"/>
    <col min="22" max="22" width="9.88671875" style="23" bestFit="1" customWidth="1"/>
    <col min="23" max="16384" width="8.88671875" style="23"/>
  </cols>
  <sheetData>
    <row r="1" spans="1:23" s="25" customFormat="1" ht="16.2" x14ac:dyDescent="0.3">
      <c r="A1" s="1" t="s">
        <v>39</v>
      </c>
      <c r="C1" s="1"/>
      <c r="D1" s="1"/>
      <c r="E1" s="1"/>
      <c r="F1" s="1"/>
      <c r="G1" s="1"/>
      <c r="H1" s="1"/>
      <c r="I1" s="1"/>
      <c r="J1" s="1"/>
      <c r="U1" s="26" t="s">
        <v>13</v>
      </c>
      <c r="V1" s="26" t="s">
        <v>14</v>
      </c>
      <c r="W1" s="26" t="s">
        <v>15</v>
      </c>
    </row>
    <row r="2" spans="1:23" s="25" customFormat="1" ht="15" x14ac:dyDescent="0.3">
      <c r="A2" s="3"/>
      <c r="C2" s="3"/>
      <c r="D2" s="3"/>
      <c r="E2" s="3"/>
      <c r="F2" s="3"/>
      <c r="G2" s="3"/>
      <c r="H2" s="3"/>
      <c r="I2" s="3"/>
      <c r="J2" s="3"/>
      <c r="U2" s="26" t="s">
        <v>16</v>
      </c>
      <c r="V2" s="26" t="s">
        <v>17</v>
      </c>
      <c r="W2" s="26"/>
    </row>
    <row r="3" spans="1:23" s="25" customFormat="1" ht="15" x14ac:dyDescent="0.3">
      <c r="A3" s="1" t="s">
        <v>18</v>
      </c>
      <c r="C3" s="27"/>
      <c r="D3" s="27"/>
      <c r="E3" s="27"/>
      <c r="F3" s="27"/>
      <c r="G3" s="3"/>
      <c r="H3" s="3"/>
      <c r="I3" s="3"/>
      <c r="J3" s="3"/>
      <c r="U3" s="26" t="s">
        <v>19</v>
      </c>
      <c r="V3" s="26" t="s">
        <v>20</v>
      </c>
      <c r="W3" s="26"/>
    </row>
    <row r="4" spans="1:23" s="25" customFormat="1" ht="18" x14ac:dyDescent="0.3">
      <c r="B4" s="28"/>
      <c r="C4" s="28"/>
      <c r="D4" s="28"/>
      <c r="E4" s="28"/>
      <c r="F4" s="28"/>
      <c r="G4" s="2"/>
      <c r="H4" s="2"/>
      <c r="I4" s="2"/>
      <c r="J4" s="2"/>
      <c r="U4" s="26" t="s">
        <v>21</v>
      </c>
      <c r="V4" s="26"/>
    </row>
    <row r="5" spans="1:23" s="25" customFormat="1" ht="18" x14ac:dyDescent="0.3">
      <c r="B5" s="16" t="s">
        <v>47</v>
      </c>
      <c r="C5" s="22">
        <v>1005</v>
      </c>
      <c r="E5" s="16" t="s">
        <v>51</v>
      </c>
      <c r="F5" s="24" t="s">
        <v>76</v>
      </c>
      <c r="H5" s="2"/>
      <c r="I5" s="2"/>
      <c r="J5" s="2"/>
    </row>
    <row r="6" spans="1:23" s="25" customFormat="1" ht="27" x14ac:dyDescent="0.3">
      <c r="B6" s="16" t="s">
        <v>48</v>
      </c>
      <c r="C6" s="22" t="s">
        <v>79</v>
      </c>
      <c r="E6" s="16" t="s">
        <v>52</v>
      </c>
      <c r="F6" s="24" t="s">
        <v>71</v>
      </c>
      <c r="H6" s="2"/>
      <c r="I6" s="2"/>
      <c r="J6" s="2"/>
    </row>
    <row r="7" spans="1:23" s="25" customFormat="1" ht="18" x14ac:dyDescent="0.3">
      <c r="B7" s="16" t="s">
        <v>49</v>
      </c>
      <c r="C7" s="11">
        <v>12002</v>
      </c>
      <c r="H7" s="2"/>
      <c r="I7" s="2"/>
      <c r="J7" s="2"/>
    </row>
    <row r="8" spans="1:23" s="25" customFormat="1" ht="18" x14ac:dyDescent="0.3">
      <c r="B8" s="16" t="s">
        <v>50</v>
      </c>
      <c r="C8" s="22" t="s">
        <v>78</v>
      </c>
      <c r="H8" s="2"/>
      <c r="I8" s="2"/>
      <c r="J8" s="2"/>
    </row>
    <row r="9" spans="1:23" s="25" customFormat="1" ht="18" x14ac:dyDescent="0.3">
      <c r="B9" s="3"/>
      <c r="C9" s="3"/>
      <c r="D9" s="3"/>
      <c r="E9" s="3"/>
      <c r="F9" s="2"/>
      <c r="G9" s="2"/>
      <c r="H9" s="2"/>
      <c r="I9" s="2"/>
      <c r="J9" s="2"/>
    </row>
    <row r="10" spans="1:23" s="25" customFormat="1" ht="18" x14ac:dyDescent="0.3">
      <c r="A10" s="1" t="s">
        <v>22</v>
      </c>
      <c r="C10" s="2"/>
      <c r="D10" s="2"/>
      <c r="E10" s="2"/>
      <c r="F10" s="2"/>
      <c r="G10" s="2"/>
      <c r="H10" s="2"/>
      <c r="I10" s="2"/>
      <c r="J10" s="2"/>
    </row>
    <row r="11" spans="1:23" s="25" customFormat="1" ht="18" x14ac:dyDescent="0.3">
      <c r="B11" s="2"/>
      <c r="C11" s="2"/>
      <c r="D11" s="2"/>
      <c r="E11" s="2"/>
      <c r="F11" s="2"/>
      <c r="G11" s="2"/>
      <c r="H11" s="2"/>
      <c r="I11" s="2"/>
      <c r="J11" s="2"/>
    </row>
    <row r="12" spans="1:23" s="25" customFormat="1" ht="53.4" x14ac:dyDescent="0.3">
      <c r="B12" s="16" t="s">
        <v>53</v>
      </c>
      <c r="C12" s="29" t="s">
        <v>54</v>
      </c>
      <c r="D12" s="29" t="s">
        <v>55</v>
      </c>
      <c r="E12" s="29" t="s">
        <v>56</v>
      </c>
      <c r="F12" s="2"/>
      <c r="G12" s="2"/>
      <c r="H12" s="2"/>
      <c r="I12" s="2"/>
      <c r="J12" s="2"/>
    </row>
    <row r="13" spans="1:23" s="25" customFormat="1" ht="92.4" x14ac:dyDescent="0.3">
      <c r="B13" s="30" t="s">
        <v>16</v>
      </c>
      <c r="C13" s="12" t="s">
        <v>80</v>
      </c>
      <c r="D13" s="12"/>
      <c r="E13" s="12" t="s">
        <v>83</v>
      </c>
      <c r="F13" s="28"/>
      <c r="G13" s="2"/>
      <c r="H13" s="2"/>
      <c r="I13" s="2"/>
      <c r="J13" s="28"/>
    </row>
    <row r="14" spans="1:23" s="25" customFormat="1" ht="18" x14ac:dyDescent="0.3">
      <c r="B14" s="5"/>
      <c r="C14" s="5"/>
      <c r="D14" s="5"/>
      <c r="E14" s="5"/>
      <c r="F14" s="2"/>
      <c r="G14" s="2"/>
      <c r="H14" s="2"/>
      <c r="I14" s="2"/>
      <c r="J14" s="28"/>
    </row>
    <row r="15" spans="1:23" s="25" customFormat="1" ht="18" x14ac:dyDescent="0.3">
      <c r="A15" s="1" t="s">
        <v>23</v>
      </c>
      <c r="C15" s="2"/>
      <c r="D15" s="2"/>
      <c r="E15" s="2"/>
      <c r="F15" s="2"/>
      <c r="G15" s="2"/>
      <c r="H15" s="2"/>
      <c r="I15" s="2"/>
      <c r="J15" s="28"/>
    </row>
    <row r="16" spans="1:23" s="25" customFormat="1" ht="18" x14ac:dyDescent="0.3">
      <c r="B16" s="5"/>
      <c r="C16" s="2"/>
      <c r="D16" s="2"/>
      <c r="E16" s="2"/>
      <c r="F16" s="2"/>
      <c r="G16" s="2"/>
      <c r="H16" s="2"/>
      <c r="I16" s="2"/>
      <c r="J16" s="28"/>
    </row>
    <row r="17" spans="1:19" s="25" customFormat="1" ht="22.8" customHeight="1" x14ac:dyDescent="0.3">
      <c r="B17" s="52" t="s">
        <v>57</v>
      </c>
      <c r="C17" s="52" t="s">
        <v>58</v>
      </c>
      <c r="D17" s="52" t="s">
        <v>59</v>
      </c>
      <c r="E17" s="52" t="s">
        <v>60</v>
      </c>
      <c r="F17" s="52" t="s">
        <v>61</v>
      </c>
      <c r="G17" s="52"/>
      <c r="H17" s="52"/>
      <c r="I17" s="52"/>
      <c r="J17" s="52"/>
      <c r="K17" s="52" t="s">
        <v>62</v>
      </c>
    </row>
    <row r="18" spans="1:19" s="25" customFormat="1" ht="30.6" customHeight="1" x14ac:dyDescent="0.3">
      <c r="B18" s="52"/>
      <c r="C18" s="52"/>
      <c r="D18" s="52"/>
      <c r="E18" s="52"/>
      <c r="F18" s="21" t="s">
        <v>24</v>
      </c>
      <c r="G18" s="21" t="s">
        <v>25</v>
      </c>
      <c r="H18" s="21" t="s">
        <v>0</v>
      </c>
      <c r="I18" s="21" t="s">
        <v>1</v>
      </c>
      <c r="J18" s="21" t="s">
        <v>3</v>
      </c>
      <c r="K18" s="52"/>
    </row>
    <row r="19" spans="1:19" s="25" customFormat="1" ht="39.6" x14ac:dyDescent="0.3">
      <c r="B19" s="12" t="s">
        <v>204</v>
      </c>
      <c r="C19" s="136" t="s">
        <v>148</v>
      </c>
      <c r="D19" s="30" t="s">
        <v>199</v>
      </c>
      <c r="E19" s="12" t="s">
        <v>202</v>
      </c>
      <c r="F19" s="31">
        <v>94</v>
      </c>
      <c r="G19" s="31">
        <v>81</v>
      </c>
      <c r="H19" s="31">
        <v>61</v>
      </c>
      <c r="I19" s="31">
        <v>41</v>
      </c>
      <c r="J19" s="31">
        <v>21</v>
      </c>
      <c r="K19" s="31"/>
    </row>
    <row r="20" spans="1:19" s="25" customFormat="1" ht="39.6" x14ac:dyDescent="0.3">
      <c r="B20" s="12" t="s">
        <v>205</v>
      </c>
      <c r="C20" s="136" t="s">
        <v>72</v>
      </c>
      <c r="D20" s="30" t="s">
        <v>199</v>
      </c>
      <c r="E20" s="12" t="s">
        <v>202</v>
      </c>
      <c r="F20" s="31">
        <v>100000</v>
      </c>
      <c r="G20" s="31">
        <v>100000</v>
      </c>
      <c r="H20" s="31">
        <v>100000</v>
      </c>
      <c r="I20" s="31">
        <v>125000</v>
      </c>
      <c r="J20" s="31">
        <f>+I20</f>
        <v>125000</v>
      </c>
      <c r="K20" s="31"/>
    </row>
    <row r="21" spans="1:19" s="25" customFormat="1" ht="105.6" x14ac:dyDescent="0.3">
      <c r="B21" s="83" t="s">
        <v>121</v>
      </c>
      <c r="C21" s="137" t="s">
        <v>73</v>
      </c>
      <c r="D21" s="30"/>
      <c r="E21" s="12"/>
      <c r="F21" s="31">
        <v>12059</v>
      </c>
      <c r="G21" s="31"/>
      <c r="H21" s="31"/>
      <c r="I21" s="31"/>
      <c r="J21" s="31"/>
      <c r="K21" s="138" t="s">
        <v>203</v>
      </c>
    </row>
    <row r="22" spans="1:19" s="25" customFormat="1" x14ac:dyDescent="0.3">
      <c r="B22" s="13" t="s">
        <v>74</v>
      </c>
      <c r="C22" s="30" t="s">
        <v>73</v>
      </c>
      <c r="D22" s="30"/>
      <c r="E22" s="12"/>
      <c r="F22" s="31">
        <f>+F20*F19*0.012+F21</f>
        <v>124859</v>
      </c>
      <c r="G22" s="31">
        <f t="shared" ref="G22:J22" si="0">+G20*G19*0.012</f>
        <v>97200</v>
      </c>
      <c r="H22" s="31">
        <f t="shared" si="0"/>
        <v>73200</v>
      </c>
      <c r="I22" s="31">
        <f t="shared" si="0"/>
        <v>61500</v>
      </c>
      <c r="J22" s="31">
        <f t="shared" si="0"/>
        <v>31500</v>
      </c>
      <c r="K22" s="31"/>
    </row>
    <row r="25" spans="1:19" ht="15" x14ac:dyDescent="0.35">
      <c r="A25" s="4" t="s">
        <v>26</v>
      </c>
    </row>
    <row r="27" spans="1:19" x14ac:dyDescent="0.3">
      <c r="B27" s="53" t="s">
        <v>63</v>
      </c>
      <c r="C27" s="20" t="s">
        <v>64</v>
      </c>
      <c r="D27" s="20" t="s">
        <v>65</v>
      </c>
      <c r="E27" s="46" t="s">
        <v>66</v>
      </c>
      <c r="F27" s="46"/>
      <c r="G27" s="46"/>
      <c r="H27" s="46" t="s">
        <v>67</v>
      </c>
      <c r="I27" s="46"/>
      <c r="J27" s="46"/>
      <c r="K27" s="46" t="s">
        <v>68</v>
      </c>
      <c r="L27" s="46"/>
      <c r="M27" s="46"/>
      <c r="N27" s="46" t="s">
        <v>69</v>
      </c>
      <c r="O27" s="46"/>
      <c r="P27" s="46"/>
      <c r="Q27" s="51" t="s">
        <v>70</v>
      </c>
      <c r="R27" s="51"/>
      <c r="S27" s="51"/>
    </row>
    <row r="28" spans="1:19" x14ac:dyDescent="0.3">
      <c r="B28" s="53"/>
      <c r="C28" s="20" t="s">
        <v>8</v>
      </c>
      <c r="D28" s="20" t="s">
        <v>9</v>
      </c>
      <c r="E28" s="18" t="s">
        <v>0</v>
      </c>
      <c r="F28" s="18" t="s">
        <v>1</v>
      </c>
      <c r="G28" s="18" t="s">
        <v>3</v>
      </c>
      <c r="H28" s="18" t="s">
        <v>0</v>
      </c>
      <c r="I28" s="18" t="s">
        <v>1</v>
      </c>
      <c r="J28" s="18" t="s">
        <v>3</v>
      </c>
      <c r="K28" s="18" t="s">
        <v>12</v>
      </c>
      <c r="L28" s="18" t="s">
        <v>11</v>
      </c>
      <c r="M28" s="18" t="s">
        <v>10</v>
      </c>
      <c r="N28" s="18" t="s">
        <v>12</v>
      </c>
      <c r="O28" s="18" t="s">
        <v>11</v>
      </c>
      <c r="P28" s="18" t="s">
        <v>10</v>
      </c>
      <c r="Q28" s="19" t="s">
        <v>0</v>
      </c>
      <c r="R28" s="19" t="s">
        <v>1</v>
      </c>
      <c r="S28" s="19" t="s">
        <v>3</v>
      </c>
    </row>
    <row r="29" spans="1:19" x14ac:dyDescent="0.3">
      <c r="B29" s="12" t="s">
        <v>75</v>
      </c>
      <c r="C29" s="32">
        <f>+F22</f>
        <v>124859</v>
      </c>
      <c r="D29" s="32">
        <f>+G22</f>
        <v>97200</v>
      </c>
      <c r="E29" s="32"/>
      <c r="F29" s="32"/>
      <c r="G29" s="32"/>
      <c r="H29" s="32">
        <f>+H22</f>
        <v>73200</v>
      </c>
      <c r="I29" s="32">
        <f t="shared" ref="I29:J29" si="1">+I22</f>
        <v>61500</v>
      </c>
      <c r="J29" s="32">
        <f t="shared" si="1"/>
        <v>31500</v>
      </c>
      <c r="K29" s="34">
        <f>+H29</f>
        <v>73200</v>
      </c>
      <c r="L29" s="34">
        <f t="shared" ref="L29:M29" si="2">+I29</f>
        <v>61500</v>
      </c>
      <c r="M29" s="34">
        <f t="shared" si="2"/>
        <v>31500</v>
      </c>
      <c r="N29" s="34"/>
      <c r="O29" s="34"/>
      <c r="P29" s="34"/>
      <c r="Q29" s="35">
        <f>+K29</f>
        <v>73200</v>
      </c>
      <c r="R29" s="35">
        <f t="shared" ref="R29:S29" si="3">+L29</f>
        <v>61500</v>
      </c>
      <c r="S29" s="35">
        <f t="shared" si="3"/>
        <v>31500</v>
      </c>
    </row>
    <row r="30" spans="1:19" ht="40.200000000000003" x14ac:dyDescent="0.3">
      <c r="B30" s="6" t="s">
        <v>41</v>
      </c>
      <c r="C30" s="12"/>
      <c r="D30" s="12"/>
      <c r="E30" s="18">
        <f t="shared" ref="E30:J30" si="4">SUM(E29:E29)</f>
        <v>0</v>
      </c>
      <c r="F30" s="18">
        <f t="shared" si="4"/>
        <v>0</v>
      </c>
      <c r="G30" s="18">
        <f t="shared" si="4"/>
        <v>0</v>
      </c>
      <c r="H30" s="33">
        <f t="shared" si="4"/>
        <v>73200</v>
      </c>
      <c r="I30" s="33">
        <f t="shared" si="4"/>
        <v>61500</v>
      </c>
      <c r="J30" s="33">
        <f t="shared" si="4"/>
        <v>31500</v>
      </c>
      <c r="K30" s="33">
        <f>C30+E30+H30</f>
        <v>73200</v>
      </c>
      <c r="L30" s="33">
        <f>C30+F30+I30</f>
        <v>61500</v>
      </c>
      <c r="M30" s="33">
        <f>C30+G30+J30</f>
        <v>31500</v>
      </c>
      <c r="N30" s="20" t="s">
        <v>2</v>
      </c>
      <c r="O30" s="20" t="s">
        <v>2</v>
      </c>
      <c r="P30" s="20" t="s">
        <v>2</v>
      </c>
      <c r="Q30" s="19" t="s">
        <v>2</v>
      </c>
      <c r="R30" s="19" t="s">
        <v>2</v>
      </c>
      <c r="S30" s="19" t="s">
        <v>2</v>
      </c>
    </row>
    <row r="31" spans="1:19" ht="40.200000000000003" x14ac:dyDescent="0.3">
      <c r="B31" s="6" t="s">
        <v>30</v>
      </c>
      <c r="C31" s="12"/>
      <c r="D31" s="12"/>
      <c r="E31" s="18" t="s">
        <v>40</v>
      </c>
      <c r="F31" s="18" t="s">
        <v>40</v>
      </c>
      <c r="G31" s="18" t="s">
        <v>40</v>
      </c>
      <c r="H31" s="33" t="s">
        <v>40</v>
      </c>
      <c r="I31" s="33" t="s">
        <v>40</v>
      </c>
      <c r="J31" s="33" t="s">
        <v>40</v>
      </c>
      <c r="K31" s="33">
        <f>C31</f>
        <v>0</v>
      </c>
      <c r="L31" s="33">
        <f>C31</f>
        <v>0</v>
      </c>
      <c r="M31" s="33">
        <f>C31</f>
        <v>0</v>
      </c>
      <c r="N31" s="20" t="s">
        <v>2</v>
      </c>
      <c r="O31" s="20" t="s">
        <v>2</v>
      </c>
      <c r="P31" s="20" t="s">
        <v>2</v>
      </c>
      <c r="Q31" s="19" t="s">
        <v>2</v>
      </c>
      <c r="R31" s="19" t="s">
        <v>2</v>
      </c>
      <c r="S31" s="19" t="s">
        <v>2</v>
      </c>
    </row>
    <row r="32" spans="1:19" x14ac:dyDescent="0.3">
      <c r="B32" s="6" t="s">
        <v>31</v>
      </c>
      <c r="C32" s="34">
        <f>+C29</f>
        <v>124859</v>
      </c>
      <c r="D32" s="34">
        <f>+D29</f>
        <v>97200</v>
      </c>
      <c r="E32" s="18">
        <f>E30</f>
        <v>0</v>
      </c>
      <c r="F32" s="18">
        <f t="shared" ref="F32:J32" si="5">F30</f>
        <v>0</v>
      </c>
      <c r="G32" s="18">
        <f t="shared" si="5"/>
        <v>0</v>
      </c>
      <c r="H32" s="33">
        <f t="shared" si="5"/>
        <v>73200</v>
      </c>
      <c r="I32" s="33">
        <f t="shared" si="5"/>
        <v>61500</v>
      </c>
      <c r="J32" s="33">
        <f t="shared" si="5"/>
        <v>31500</v>
      </c>
      <c r="K32" s="33">
        <f>K30+K31</f>
        <v>73200</v>
      </c>
      <c r="L32" s="33">
        <f t="shared" ref="L32:M32" si="6">L30+L31</f>
        <v>61500</v>
      </c>
      <c r="M32" s="33">
        <f t="shared" si="6"/>
        <v>31500</v>
      </c>
      <c r="N32" s="20">
        <f>SUM(N29:N29)</f>
        <v>0</v>
      </c>
      <c r="O32" s="20">
        <f>SUM(O29:O29)</f>
        <v>0</v>
      </c>
      <c r="P32" s="20">
        <f>SUM(P29:P29)</f>
        <v>0</v>
      </c>
      <c r="Q32" s="36">
        <f>K32+N32</f>
        <v>73200</v>
      </c>
      <c r="R32" s="36">
        <f>L32+O32</f>
        <v>61500</v>
      </c>
      <c r="S32" s="36">
        <f>M32+P32</f>
        <v>31500</v>
      </c>
    </row>
  </sheetData>
  <mergeCells count="12">
    <mergeCell ref="Q27:S27"/>
    <mergeCell ref="B17:B18"/>
    <mergeCell ref="C17:C18"/>
    <mergeCell ref="D17:D18"/>
    <mergeCell ref="E17:E18"/>
    <mergeCell ref="F17:J17"/>
    <mergeCell ref="K17:K18"/>
    <mergeCell ref="B27:B28"/>
    <mergeCell ref="E27:G27"/>
    <mergeCell ref="H27:J27"/>
    <mergeCell ref="K27:M27"/>
    <mergeCell ref="N27:P27"/>
  </mergeCells>
  <dataValidations count="3">
    <dataValidation type="custom" allowBlank="1" showInputMessage="1" showErrorMessage="1" sqref="N29:P29">
      <formula1>"-"</formula1>
    </dataValidation>
    <dataValidation type="list" allowBlank="1" showInputMessage="1" showErrorMessage="1" sqref="B13">
      <formula1>$U$2:$U$4</formula1>
    </dataValidation>
    <dataValidation type="list" allowBlank="1" showInputMessage="1" showErrorMessage="1" sqref="D22">
      <formula1>$V$2:$V$3</formula1>
    </dataValidation>
  </dataValidations>
  <hyperlinks>
    <hyperlink ref="C12" location="_ftn1" display="_ftn1"/>
    <hyperlink ref="D12" location="_ftn2" display="_ftn2"/>
    <hyperlink ref="E12" location="_ftn3" display="_ftn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հաշվարկ պարգևավճար</vt:lpstr>
      <vt:lpstr>1005</vt:lpstr>
      <vt:lpstr>պարգևավճար</vt:lpstr>
      <vt:lpstr>պատվովճար</vt:lpstr>
      <vt:lpstr>'1005'!_ftnref1</vt:lpstr>
      <vt:lpstr>'1005'!_ftnref2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2023-03-05T09:02:56Z</dcterms:modified>
</cp:coreProperties>
</file>